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igene Excelanwendungen\"/>
    </mc:Choice>
  </mc:AlternateContent>
  <xr:revisionPtr revIDLastSave="0" documentId="13_ncr:1_{F347DB6B-2450-4CFA-81BF-9EF728C61F87}" xr6:coauthVersionLast="47" xr6:coauthVersionMax="47" xr10:uidLastSave="{00000000-0000-0000-0000-000000000000}"/>
  <bookViews>
    <workbookView xWindow="-120" yWindow="-120" windowWidth="29040" windowHeight="15840" tabRatio="874" firstSheet="1" activeTab="1" xr2:uid="{00000000-000D-0000-FFFF-FFFF00000000}"/>
  </bookViews>
  <sheets>
    <sheet name="Erläuterungen" sheetId="9" r:id="rId1"/>
    <sheet name="Eingabetabelle" sheetId="1" r:id="rId2"/>
    <sheet name="TS-Gehalte u. Preise" sheetId="7" r:id="rId3"/>
    <sheet name="Kostenermittl.Mais" sheetId="2" r:id="rId4"/>
    <sheet name="Kostenermittl.Gras" sheetId="3" r:id="rId5"/>
    <sheet name="Grafik TM-Aufnahme u. Milchmeng" sheetId="6" r:id="rId6"/>
    <sheet name="Grafik Futterkosten kg Milch" sheetId="8" r:id="rId7"/>
    <sheet name="Tabelle3" sheetId="10" r:id="rId8"/>
  </sheets>
  <calcPr calcId="181029"/>
</workbook>
</file>

<file path=xl/calcChain.xml><?xml version="1.0" encoding="utf-8"?>
<calcChain xmlns="http://schemas.openxmlformats.org/spreadsheetml/2006/main">
  <c r="U2" i="1" l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7" i="1"/>
  <c r="V8" i="1"/>
  <c r="V9" i="1"/>
  <c r="V10" i="1"/>
  <c r="V11" i="1"/>
  <c r="D12" i="3"/>
  <c r="D24" i="3"/>
  <c r="D24" i="2"/>
  <c r="D11" i="2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O30" i="1"/>
  <c r="O24" i="1"/>
  <c r="O25" i="1"/>
  <c r="O26" i="1"/>
  <c r="O27" i="1"/>
  <c r="O28" i="1"/>
  <c r="O29" i="1"/>
  <c r="O18" i="1"/>
  <c r="O19" i="1"/>
  <c r="O20" i="1"/>
  <c r="O21" i="1"/>
  <c r="O22" i="1"/>
  <c r="O23" i="1"/>
  <c r="D16" i="3" l="1"/>
  <c r="D38" i="2"/>
  <c r="Q5" i="1" l="1"/>
  <c r="U5" i="1" s="1"/>
  <c r="T5" i="1"/>
  <c r="Q6" i="1"/>
  <c r="U6" i="1" s="1"/>
  <c r="T6" i="1"/>
  <c r="R7" i="1"/>
  <c r="Q7" i="1"/>
  <c r="U7" i="1" s="1"/>
  <c r="T7" i="1"/>
  <c r="R8" i="1"/>
  <c r="Q8" i="1"/>
  <c r="U8" i="1" s="1"/>
  <c r="T8" i="1"/>
  <c r="R9" i="1"/>
  <c r="Q9" i="1"/>
  <c r="U9" i="1" s="1"/>
  <c r="T9" i="1"/>
  <c r="R10" i="1"/>
  <c r="Q10" i="1"/>
  <c r="U10" i="1" s="1"/>
  <c r="T10" i="1"/>
  <c r="R11" i="1"/>
  <c r="Q11" i="1"/>
  <c r="U11" i="1" s="1"/>
  <c r="T11" i="1"/>
  <c r="R12" i="1"/>
  <c r="Q12" i="1"/>
  <c r="U12" i="1" s="1"/>
  <c r="T12" i="1"/>
  <c r="R13" i="1"/>
  <c r="Q13" i="1"/>
  <c r="U13" i="1" s="1"/>
  <c r="T13" i="1"/>
  <c r="R14" i="1"/>
  <c r="Q14" i="1"/>
  <c r="U14" i="1" s="1"/>
  <c r="T14" i="1"/>
  <c r="R15" i="1"/>
  <c r="Q15" i="1"/>
  <c r="U15" i="1" s="1"/>
  <c r="T15" i="1"/>
  <c r="R16" i="1"/>
  <c r="Q16" i="1"/>
  <c r="U16" i="1" s="1"/>
  <c r="T16" i="1"/>
  <c r="R17" i="1"/>
  <c r="Q17" i="1"/>
  <c r="U17" i="1" s="1"/>
  <c r="T17" i="1"/>
  <c r="R18" i="1"/>
  <c r="Q18" i="1"/>
  <c r="U18" i="1" s="1"/>
  <c r="T18" i="1"/>
  <c r="R19" i="1"/>
  <c r="Q19" i="1"/>
  <c r="T19" i="1"/>
  <c r="U19" i="1"/>
  <c r="R20" i="1"/>
  <c r="Q20" i="1"/>
  <c r="T20" i="1"/>
  <c r="U20" i="1"/>
  <c r="R21" i="1"/>
  <c r="Q21" i="1"/>
  <c r="T21" i="1"/>
  <c r="U21" i="1"/>
  <c r="R22" i="1"/>
  <c r="Q22" i="1"/>
  <c r="U22" i="1" s="1"/>
  <c r="T22" i="1"/>
  <c r="R23" i="1"/>
  <c r="S23" i="1" s="1"/>
  <c r="Q23" i="1"/>
  <c r="T23" i="1"/>
  <c r="U23" i="1"/>
  <c r="R24" i="1"/>
  <c r="Q24" i="1"/>
  <c r="U24" i="1" s="1"/>
  <c r="T24" i="1"/>
  <c r="R25" i="1"/>
  <c r="S25" i="1" s="1"/>
  <c r="Q25" i="1"/>
  <c r="U25" i="1" s="1"/>
  <c r="T25" i="1"/>
  <c r="R26" i="1"/>
  <c r="Q26" i="1"/>
  <c r="U26" i="1" s="1"/>
  <c r="T26" i="1"/>
  <c r="R27" i="1"/>
  <c r="Q27" i="1"/>
  <c r="U27" i="1" s="1"/>
  <c r="T27" i="1"/>
  <c r="R28" i="1"/>
  <c r="Q28" i="1"/>
  <c r="U28" i="1" s="1"/>
  <c r="T28" i="1"/>
  <c r="R29" i="1"/>
  <c r="Q29" i="1"/>
  <c r="U29" i="1" s="1"/>
  <c r="T29" i="1"/>
  <c r="R30" i="1"/>
  <c r="Q30" i="1"/>
  <c r="U30" i="1" s="1"/>
  <c r="T30" i="1"/>
  <c r="D6" i="3"/>
  <c r="S30" i="1" l="1"/>
  <c r="S29" i="1"/>
  <c r="S28" i="1"/>
  <c r="S27" i="1"/>
  <c r="S26" i="1"/>
  <c r="S24" i="1"/>
  <c r="S22" i="1"/>
  <c r="S21" i="1"/>
  <c r="S20" i="1"/>
  <c r="S19" i="1"/>
  <c r="S18" i="1"/>
  <c r="S16" i="1"/>
  <c r="S15" i="1"/>
  <c r="S14" i="1"/>
  <c r="S13" i="1"/>
  <c r="S17" i="1"/>
  <c r="S10" i="1"/>
  <c r="S12" i="1"/>
  <c r="S11" i="1"/>
  <c r="S9" i="1"/>
  <c r="S8" i="1"/>
  <c r="S7" i="1"/>
  <c r="C23" i="7"/>
  <c r="B23" i="7"/>
  <c r="G3" i="1"/>
  <c r="D23" i="7" l="1"/>
  <c r="O4" i="1" s="1"/>
  <c r="O13" i="1" l="1"/>
  <c r="O17" i="1"/>
  <c r="O6" i="1"/>
  <c r="V6" i="1" s="1"/>
  <c r="O10" i="1"/>
  <c r="O14" i="1"/>
  <c r="O7" i="1"/>
  <c r="O11" i="1"/>
  <c r="O15" i="1"/>
  <c r="O8" i="1"/>
  <c r="O12" i="1"/>
  <c r="O16" i="1"/>
  <c r="O5" i="1"/>
  <c r="V5" i="1" s="1"/>
  <c r="O9" i="1"/>
  <c r="E42" i="3"/>
  <c r="E37" i="3"/>
  <c r="H3" i="1"/>
  <c r="J3" i="1"/>
  <c r="T4" i="1" l="1"/>
  <c r="Q4" i="1"/>
  <c r="D17" i="3"/>
  <c r="U4" i="1" l="1"/>
  <c r="V4" i="1"/>
  <c r="I3" i="1"/>
  <c r="M3" i="1"/>
  <c r="L3" i="1"/>
  <c r="K3" i="1"/>
  <c r="E21" i="3" l="1"/>
  <c r="E13" i="3"/>
  <c r="F6" i="3"/>
  <c r="E6" i="3" s="1"/>
  <c r="E40" i="2"/>
  <c r="E45" i="3" l="1"/>
  <c r="E47" i="3" s="1"/>
  <c r="E48" i="3" s="1"/>
  <c r="E38" i="3"/>
  <c r="E22" i="3"/>
  <c r="E44" i="3"/>
  <c r="E35" i="2"/>
  <c r="E12" i="2"/>
  <c r="E42" i="2" s="1"/>
  <c r="E7" i="2" l="1"/>
  <c r="F7" i="2" s="1"/>
  <c r="E21" i="2"/>
  <c r="E36" i="2" l="1"/>
  <c r="E43" i="2"/>
  <c r="E45" i="2" s="1"/>
  <c r="E46" i="2" s="1"/>
  <c r="E22" i="2"/>
  <c r="P6" i="1" l="1"/>
  <c r="R6" i="1" s="1"/>
  <c r="S6" i="1" s="1"/>
  <c r="P5" i="1"/>
  <c r="R5" i="1" s="1"/>
  <c r="S5" i="1" s="1"/>
  <c r="P4" i="1"/>
  <c r="R4" i="1" s="1"/>
  <c r="S4" i="1" s="1"/>
</calcChain>
</file>

<file path=xl/sharedStrings.xml><?xml version="1.0" encoding="utf-8"?>
<sst xmlns="http://schemas.openxmlformats.org/spreadsheetml/2006/main" count="223" uniqueCount="121">
  <si>
    <t>m³</t>
  </si>
  <si>
    <t>kg/m³</t>
  </si>
  <si>
    <t>TS-Gehalt</t>
  </si>
  <si>
    <t>TM-Ertrag  dt</t>
  </si>
  <si>
    <t>FM-Ertrag</t>
  </si>
  <si>
    <t>Ertragsermittlung</t>
  </si>
  <si>
    <t xml:space="preserve">Saatgut </t>
  </si>
  <si>
    <t>€/ha</t>
  </si>
  <si>
    <t>Direktkosten</t>
  </si>
  <si>
    <t xml:space="preserve">Kalkung </t>
  </si>
  <si>
    <t>Pflanzenschutzmittel</t>
  </si>
  <si>
    <t>Sonstiges</t>
  </si>
  <si>
    <t>Direktkostenfreie Leistung</t>
  </si>
  <si>
    <t>Pflügen mit Packer</t>
  </si>
  <si>
    <t>Saatbettbereitung incl. Säen</t>
  </si>
  <si>
    <t>min. Düngung</t>
  </si>
  <si>
    <t>Pflanzenschutzanwendung</t>
  </si>
  <si>
    <t>Abfuhr</t>
  </si>
  <si>
    <t xml:space="preserve">Stoppelbearbeitung </t>
  </si>
  <si>
    <t>Datum</t>
  </si>
  <si>
    <t xml:space="preserve">Mineraldünger </t>
  </si>
  <si>
    <t>Häckseln</t>
  </si>
  <si>
    <t>Walzen</t>
  </si>
  <si>
    <t>Flächenprämie</t>
  </si>
  <si>
    <t>Dieselrückvergütung</t>
  </si>
  <si>
    <t>Silofolie/Eindecken</t>
  </si>
  <si>
    <t>Gebäudekosten Maschinen</t>
  </si>
  <si>
    <t>Summe Direktkosten</t>
  </si>
  <si>
    <t>Summe Arbeitserledigungskosten</t>
  </si>
  <si>
    <t>Summe Allgemeine Kosten</t>
  </si>
  <si>
    <t>Summe Kosten</t>
  </si>
  <si>
    <t>Leistungen je ha</t>
  </si>
  <si>
    <t>Ertragserlös je ha</t>
  </si>
  <si>
    <t>€7ha</t>
  </si>
  <si>
    <t>Direkt- u. arbeitserlediungskostenfreie Leistung</t>
  </si>
  <si>
    <t>Afa- Maschinen</t>
  </si>
  <si>
    <t>Pachtkosten/Pachtansatz</t>
  </si>
  <si>
    <t>Summe Erlöse</t>
  </si>
  <si>
    <t>Kosten je dt Frischmasse</t>
  </si>
  <si>
    <t>Kosten je kg Frischmasse</t>
  </si>
  <si>
    <t>€/dt</t>
  </si>
  <si>
    <t>€/dt gepreßt</t>
  </si>
  <si>
    <t>Futter-kosten je Kuh u. Tag</t>
  </si>
  <si>
    <t>kg TM/m³</t>
  </si>
  <si>
    <t>erzeugte Milch/Kuh u. Tag kg</t>
  </si>
  <si>
    <t>Futter-kosten je 100 kg Milch</t>
  </si>
  <si>
    <t>Kosten Kraft- u. Mineralfutter incl. MwSt.</t>
  </si>
  <si>
    <t>Erlös</t>
  </si>
  <si>
    <t>Grünland/Feldgras</t>
  </si>
  <si>
    <t>Mähen</t>
  </si>
  <si>
    <t>Zetten/Schwaden</t>
  </si>
  <si>
    <t>Kuh-zahl</t>
  </si>
  <si>
    <t>g KF/kg Milch    &lt; 300 g</t>
  </si>
  <si>
    <t>€/kg</t>
  </si>
  <si>
    <t>SilomaisVollkosten</t>
  </si>
  <si>
    <t xml:space="preserve">Erläuterungen zur Nutzung der Managementhilfe Futterkosten </t>
  </si>
  <si>
    <t>MJ NEL/kg</t>
  </si>
  <si>
    <t>Datum:</t>
  </si>
  <si>
    <t>Kuhzahl:</t>
  </si>
  <si>
    <t>Tankmilch:</t>
  </si>
  <si>
    <t>Eingabetabelle:</t>
  </si>
  <si>
    <t xml:space="preserve">Interne Verwertung: </t>
  </si>
  <si>
    <t>Futtermittel:</t>
  </si>
  <si>
    <t>Kraft- u. Mineralfutter:</t>
  </si>
  <si>
    <t>Preise:</t>
  </si>
  <si>
    <t>Energiegehalt:</t>
  </si>
  <si>
    <t>Futtermittel</t>
  </si>
  <si>
    <t xml:space="preserve">Die Futtermittelbezeichnungen können geändert werden. Sie werden automatisch in die Eingabetabelle übernommen. </t>
  </si>
  <si>
    <t>Achtung:</t>
  </si>
  <si>
    <t xml:space="preserve">Hier muss der MJ-Gehalt der einzelnen Komponente eingegeben werden.  </t>
  </si>
  <si>
    <t>Kostenermittlung Mais u. Gras:</t>
  </si>
  <si>
    <t>Energiegehalte</t>
  </si>
  <si>
    <t>bei Maissilage kommt man dem geernteten Ertrag relativ nahe. Eine Messung der Erntemenge in m³ ist dafür natürlich notwendig.</t>
  </si>
  <si>
    <t>Bei Fragen: BR Emsland-Nord e.V. 04962-9131520</t>
  </si>
  <si>
    <t xml:space="preserve">TM-Auf-nahme kg    </t>
  </si>
  <si>
    <t>Auswahl der Blätter:</t>
  </si>
  <si>
    <t>Milchmenge die an Kälber verfüttert wrid, die Ab-Hof verkauft und für Eigenbedarf entnommen wurde. Um es genau zu machen, muss auch Milch die verorfen</t>
  </si>
  <si>
    <t xml:space="preserve">In der unteren Menüzeile können Sie die entsprechenden Blätter auswählen. Zu Beginn ihrer Auswertungen sollten Sie die Kosten für ihrer Ausgleichs- und  </t>
  </si>
  <si>
    <t>Kraftfutter eingeben. Ebenso sollten Sie zu Beginn die Kosten ihrer Grundfutter ermitteln, wobei das sicherlich die größte Schwierigkeit bei der ganzen Auswertung</t>
  </si>
  <si>
    <t>Ändern Sie Preise oder Nährstoffgehalte bei einem Futtermittel, ändern sich auch die Ergebnisse aller bisher eingetragenen Daten.</t>
  </si>
  <si>
    <t>Den Ertrag seiner Grundfutterproduktion hat niemand erfasst. Mit Hilfe der geernteten m³ und den Werten der TM/m³ bei Grassilage und dem Frischmassegewicht</t>
  </si>
  <si>
    <t xml:space="preserve">sein wird. Um es im ersten Schritt zu vereinfachen, können Sie die hier dargestellten Daten übernehmen oder einfach nur die variablen Kosten je ha </t>
  </si>
  <si>
    <t>Hier werden nur die melkenden Tiere eingegeben, Trockensteher u. Eingliederungsfärsen sollten aus der Futtermenge herausgerechnet werden.</t>
  </si>
  <si>
    <t>Zur leichteren Rückverfolgbarkeit wird hier das Datum der Datenerhebung eingetragen.</t>
  </si>
  <si>
    <t>annehemen (siehe Kostenermittlung Mais u. Gras).</t>
  </si>
  <si>
    <t xml:space="preserve">Die Anwendung ist so ausgelegt, das die zu nutzenden Daten jeweils für einen Tag und die melkende Herde genommen werden. Ausgelegt ist die Tabelle auf eine langerfristige        </t>
  </si>
  <si>
    <t>zu haben, sollte wöchentlich eine Datenerhebung durchgeführt werden.</t>
  </si>
  <si>
    <t>Der Preis für das jeweilige Futtermittel.</t>
  </si>
  <si>
    <t>werden musste (Zellzahl-,  Antibiotika- und Biestmilch) hier mitgerechnet werden.</t>
  </si>
  <si>
    <t>Die täglich von der melkenden Herde aufgenommene Futtermenge, auch hier müssen Trockensteher, Eingliederungsfärsen u. Futter für die Kälber herausgerechnet werden.</t>
  </si>
  <si>
    <t>Die Tankmilchmenge je Abholung geteilt durch 2.</t>
  </si>
  <si>
    <t>Auswertung der Daten. Jeden Tag die Daten zu erfassen macht wenig Sinn. Um einen Überblick zu behalten und trotzdem eine kontinuirliche Auswertung zur Verfügung</t>
  </si>
  <si>
    <t xml:space="preserve">Werden Rationen geändert bzw. Futtermittel ausgetausch, sollten  die bisherigen Daten in einer anderen Datei abspeichert werdenn. Durch kopieren der Daten (nur Werte übernehmen) können  </t>
  </si>
  <si>
    <t>Durch kopieren/ sepeichern der Daten (nur Werte übernehmen), können  dann auch Auswertungen über einen längeren Zeitraum und verschiedener Rationen durchgeführt werden.</t>
  </si>
  <si>
    <t>Hier sollten Sie die Vollkosten für ihre Futterproduktion eingeben. Im Vergleich zur BZA, wo nur die variablen Kosten berücksichtigt werden, sind die Kosten hier höher,</t>
  </si>
  <si>
    <t xml:space="preserve">allerdings sind hier auch nicht die Kosten der Fütterung der trockenstehenden Tiere und keine Futterverluste berücksichtigt. Möchten sie auch hier nur die </t>
  </si>
  <si>
    <t>variablen Kosten berücksichtigen, löschen Sie alle anderen Kosten und Erlöse und geben z. B. für die Grassilage 1.250,- €/ha und 1.050,- €/ha für die Maissilage ein.</t>
  </si>
  <si>
    <t xml:space="preserve">Der Trockenmassegehalt der verfütterten Silagen muss hier zwingend eingegeben werden. Er ist Grundlage der Ermittlung der TM Aufnahme </t>
  </si>
  <si>
    <t>Futter-reste kg</t>
  </si>
  <si>
    <t xml:space="preserve">Tank-milch kg </t>
  </si>
  <si>
    <t xml:space="preserve">interne Verwer-tung   kg </t>
  </si>
  <si>
    <t xml:space="preserve">Gras-silage kg </t>
  </si>
  <si>
    <t xml:space="preserve">Mais-silage kg </t>
  </si>
  <si>
    <t>TM Berechnung Futterreste</t>
  </si>
  <si>
    <t>TM Mischung</t>
  </si>
  <si>
    <t>kg Mischung</t>
  </si>
  <si>
    <t>Kraft- /Ausgleichsf. 2       kg</t>
  </si>
  <si>
    <t>Kraft- /Ausgleichsf. 1       kg</t>
  </si>
  <si>
    <t>Ausgleichsfutter                kg</t>
  </si>
  <si>
    <t xml:space="preserve">Mineral-futter                    kg  </t>
  </si>
  <si>
    <t xml:space="preserve">Futter-kalk  kg </t>
  </si>
  <si>
    <t>Vieh-salz    kg</t>
  </si>
  <si>
    <t>Stroh/Luzerne                   kg</t>
  </si>
  <si>
    <t>Futter kosten gesamt    €</t>
  </si>
  <si>
    <t>Datenerfassung Grundfutter</t>
  </si>
  <si>
    <t>Grassilage</t>
  </si>
  <si>
    <t>Maissilage</t>
  </si>
  <si>
    <t>MJ NEL/kg TM</t>
  </si>
  <si>
    <t>kg Milch aus GF</t>
  </si>
  <si>
    <t xml:space="preserve">Gülleausbringung               2,80 € /m³   </t>
  </si>
  <si>
    <t>Futter-effektivität  kg/TM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</si>
</sst>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#,##0.00\ &quot;€&quot;"/>
    <numFmt numFmtId="166" formatCode="#,##0.0000\ &quot;€&quot;"/>
    <numFmt numFmtId="167" formatCode="0.0"/>
    <numFmt numFmtId="168" formatCode="#,##0\ &quot;€&quot;"/>
    <numFmt numFmtId="169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vertical="center"/>
    </xf>
    <xf numFmtId="2" fontId="1" fillId="0" borderId="0" xfId="0" applyNumberFormat="1" applyFont="1"/>
    <xf numFmtId="0" fontId="5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2" fontId="2" fillId="3" borderId="1" xfId="0" applyNumberFormat="1" applyFont="1" applyFill="1" applyBorder="1"/>
    <xf numFmtId="0" fontId="2" fillId="3" borderId="1" xfId="0" applyFont="1" applyFill="1" applyBorder="1"/>
    <xf numFmtId="0" fontId="7" fillId="0" borderId="0" xfId="0" applyFont="1"/>
    <xf numFmtId="0" fontId="0" fillId="4" borderId="0" xfId="0" applyFill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6" borderId="0" xfId="0" applyFont="1" applyFill="1"/>
    <xf numFmtId="0" fontId="7" fillId="6" borderId="0" xfId="0" applyFont="1" applyFill="1"/>
    <xf numFmtId="2" fontId="0" fillId="0" borderId="0" xfId="0" applyNumberFormat="1" applyProtection="1"/>
    <xf numFmtId="2" fontId="0" fillId="4" borderId="0" xfId="0" applyNumberFormat="1" applyFill="1" applyProtection="1">
      <protection locked="0" hidden="1"/>
    </xf>
    <xf numFmtId="167" fontId="0" fillId="4" borderId="0" xfId="0" applyNumberFormat="1" applyFill="1" applyProtection="1">
      <protection locked="0" hidden="1"/>
    </xf>
    <xf numFmtId="0" fontId="2" fillId="4" borderId="1" xfId="0" applyFont="1" applyFill="1" applyBorder="1" applyAlignment="1" applyProtection="1">
      <alignment horizontal="center"/>
      <protection locked="0" hidden="1"/>
    </xf>
    <xf numFmtId="2" fontId="2" fillId="0" borderId="0" xfId="0" applyNumberFormat="1" applyFont="1" applyAlignment="1" applyProtection="1">
      <alignment horizontal="center"/>
      <protection locked="0" hidden="1"/>
    </xf>
    <xf numFmtId="2" fontId="2" fillId="0" borderId="1" xfId="0" applyNumberFormat="1" applyFont="1" applyBorder="1" applyAlignment="1" applyProtection="1">
      <alignment horizontal="center"/>
      <protection locked="0" hidden="1"/>
    </xf>
    <xf numFmtId="2" fontId="2" fillId="4" borderId="1" xfId="0" applyNumberFormat="1" applyFont="1" applyFill="1" applyBorder="1" applyProtection="1">
      <protection locked="0" hidden="1"/>
    </xf>
    <xf numFmtId="2" fontId="2" fillId="0" borderId="1" xfId="0" applyNumberFormat="1" applyFont="1" applyBorder="1" applyProtection="1">
      <protection locked="0" hidden="1"/>
    </xf>
    <xf numFmtId="0" fontId="2" fillId="0" borderId="1" xfId="0" applyFont="1" applyBorder="1" applyProtection="1">
      <protection locked="0" hidden="1"/>
    </xf>
    <xf numFmtId="2" fontId="2" fillId="4" borderId="1" xfId="0" applyNumberFormat="1" applyFont="1" applyFill="1" applyBorder="1" applyAlignment="1" applyProtection="1">
      <alignment horizontal="center"/>
      <protection locked="0" hidden="1"/>
    </xf>
    <xf numFmtId="0" fontId="0" fillId="0" borderId="0" xfId="0" applyFont="1"/>
    <xf numFmtId="0" fontId="1" fillId="0" borderId="0" xfId="0" applyFont="1" applyFill="1"/>
    <xf numFmtId="0" fontId="3" fillId="6" borderId="1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7" fontId="0" fillId="4" borderId="0" xfId="0" applyNumberFormat="1" applyFill="1" applyAlignment="1" applyProtection="1">
      <alignment horizontal="center"/>
      <protection locked="0" hidden="1"/>
    </xf>
    <xf numFmtId="0" fontId="0" fillId="4" borderId="0" xfId="0" applyFill="1" applyAlignment="1" applyProtection="1">
      <alignment horizontal="center"/>
      <protection locked="0" hidden="1"/>
    </xf>
    <xf numFmtId="0" fontId="2" fillId="3" borderId="1" xfId="0" applyFont="1" applyFill="1" applyBorder="1" applyAlignment="1" applyProtection="1">
      <alignment horizontal="center"/>
      <protection locked="0" hidden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2" fillId="0" borderId="0" xfId="0" applyFont="1"/>
    <xf numFmtId="164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4" borderId="5" xfId="0" applyNumberFormat="1" applyFont="1" applyFill="1" applyBorder="1" applyProtection="1">
      <protection locked="0" hidden="1"/>
    </xf>
    <xf numFmtId="0" fontId="12" fillId="4" borderId="6" xfId="0" applyFont="1" applyFill="1" applyBorder="1" applyAlignment="1" applyProtection="1">
      <alignment horizontal="center"/>
      <protection locked="0" hidden="1"/>
    </xf>
    <xf numFmtId="167" fontId="12" fillId="2" borderId="6" xfId="0" applyNumberFormat="1" applyFont="1" applyFill="1" applyBorder="1" applyAlignment="1">
      <alignment horizontal="center"/>
    </xf>
    <xf numFmtId="168" fontId="12" fillId="2" borderId="6" xfId="0" applyNumberFormat="1" applyFont="1" applyFill="1" applyBorder="1" applyAlignment="1">
      <alignment horizontal="center"/>
    </xf>
    <xf numFmtId="167" fontId="13" fillId="2" borderId="6" xfId="0" applyNumberFormat="1" applyFont="1" applyFill="1" applyBorder="1" applyAlignment="1">
      <alignment horizontal="center"/>
    </xf>
    <xf numFmtId="165" fontId="12" fillId="2" borderId="6" xfId="0" applyNumberFormat="1" applyFont="1" applyFill="1" applyBorder="1" applyAlignment="1">
      <alignment horizontal="center"/>
    </xf>
    <xf numFmtId="165" fontId="14" fillId="2" borderId="6" xfId="0" applyNumberFormat="1" applyFont="1" applyFill="1" applyBorder="1" applyAlignment="1">
      <alignment horizontal="center"/>
    </xf>
    <xf numFmtId="169" fontId="12" fillId="2" borderId="6" xfId="0" applyNumberFormat="1" applyFont="1" applyFill="1" applyBorder="1" applyAlignment="1">
      <alignment horizontal="center"/>
    </xf>
    <xf numFmtId="164" fontId="12" fillId="4" borderId="7" xfId="0" applyNumberFormat="1" applyFont="1" applyFill="1" applyBorder="1" applyProtection="1">
      <protection locked="0" hidden="1"/>
    </xf>
    <xf numFmtId="0" fontId="12" fillId="4" borderId="1" xfId="0" applyFont="1" applyFill="1" applyBorder="1" applyAlignment="1" applyProtection="1">
      <alignment horizontal="center"/>
      <protection locked="0" hidden="1"/>
    </xf>
    <xf numFmtId="167" fontId="12" fillId="2" borderId="1" xfId="0" applyNumberFormat="1" applyFont="1" applyFill="1" applyBorder="1" applyAlignment="1">
      <alignment horizontal="center"/>
    </xf>
    <xf numFmtId="168" fontId="12" fillId="2" borderId="1" xfId="0" applyNumberFormat="1" applyFont="1" applyFill="1" applyBorder="1" applyAlignment="1">
      <alignment horizontal="center"/>
    </xf>
    <xf numFmtId="167" fontId="13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69" fontId="12" fillId="2" borderId="1" xfId="0" applyNumberFormat="1" applyFont="1" applyFill="1" applyBorder="1" applyAlignment="1">
      <alignment horizontal="center"/>
    </xf>
    <xf numFmtId="164" fontId="12" fillId="4" borderId="8" xfId="0" applyNumberFormat="1" applyFont="1" applyFill="1" applyBorder="1" applyProtection="1">
      <protection locked="0" hidden="1"/>
    </xf>
    <xf numFmtId="0" fontId="12" fillId="4" borderId="9" xfId="0" applyFont="1" applyFill="1" applyBorder="1" applyAlignment="1" applyProtection="1">
      <alignment horizontal="center"/>
      <protection locked="0" hidden="1"/>
    </xf>
    <xf numFmtId="167" fontId="12" fillId="2" borderId="9" xfId="0" applyNumberFormat="1" applyFont="1" applyFill="1" applyBorder="1" applyAlignment="1">
      <alignment horizontal="center"/>
    </xf>
    <xf numFmtId="168" fontId="12" fillId="2" borderId="9" xfId="0" applyNumberFormat="1" applyFont="1" applyFill="1" applyBorder="1" applyAlignment="1">
      <alignment horizontal="center"/>
    </xf>
    <xf numFmtId="167" fontId="13" fillId="2" borderId="9" xfId="0" applyNumberFormat="1" applyFont="1" applyFill="1" applyBorder="1" applyAlignment="1">
      <alignment horizontal="center"/>
    </xf>
    <xf numFmtId="165" fontId="12" fillId="2" borderId="9" xfId="0" applyNumberFormat="1" applyFont="1" applyFill="1" applyBorder="1" applyAlignment="1">
      <alignment horizontal="center"/>
    </xf>
    <xf numFmtId="165" fontId="14" fillId="2" borderId="9" xfId="0" applyNumberFormat="1" applyFont="1" applyFill="1" applyBorder="1" applyAlignment="1">
      <alignment horizontal="center"/>
    </xf>
    <xf numFmtId="169" fontId="12" fillId="2" borderId="9" xfId="0" applyNumberFormat="1" applyFont="1" applyFill="1" applyBorder="1" applyAlignment="1">
      <alignment horizontal="center"/>
    </xf>
    <xf numFmtId="164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2" borderId="10" xfId="0" applyNumberFormat="1" applyFont="1" applyFill="1" applyBorder="1" applyAlignment="1">
      <alignment horizontal="center"/>
    </xf>
    <xf numFmtId="4" fontId="12" fillId="2" borderId="11" xfId="0" applyNumberFormat="1" applyFont="1" applyFill="1" applyBorder="1" applyAlignment="1">
      <alignment horizontal="center"/>
    </xf>
    <xf numFmtId="4" fontId="12" fillId="2" borderId="12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right"/>
    </xf>
    <xf numFmtId="14" fontId="0" fillId="0" borderId="13" xfId="0" applyNumberForma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99449078766142E-2"/>
          <c:y val="3.8058247426892344E-2"/>
          <c:w val="0.64957680413710661"/>
          <c:h val="0.82655916073866209"/>
        </c:manualLayout>
      </c:layout>
      <c:lineChart>
        <c:grouping val="stacked"/>
        <c:varyColors val="0"/>
        <c:ser>
          <c:idx val="10"/>
          <c:order val="0"/>
          <c:tx>
            <c:strRef>
              <c:f>Eingabetabelle!$O$3</c:f>
              <c:strCache>
                <c:ptCount val="1"/>
                <c:pt idx="0">
                  <c:v>TM-Auf-nahme kg    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Eingabetabelle!$A$4:$A$30</c:f>
              <c:numCache>
                <c:formatCode>dd/mm/yy;@</c:formatCode>
                <c:ptCount val="27"/>
              </c:numCache>
            </c:numRef>
          </c:cat>
          <c:val>
            <c:numRef>
              <c:f>Eingabetabelle!$O$4:$O$30</c:f>
              <c:numCache>
                <c:formatCode>0.0</c:formatCode>
                <c:ptCount val="27"/>
                <c:pt idx="0">
                  <c:v>19.056434933128177</c:v>
                </c:pt>
                <c:pt idx="1">
                  <c:v>19.514649218842465</c:v>
                </c:pt>
                <c:pt idx="2">
                  <c:v>19.219470647413893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C-4A99-A923-404C5D35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9680"/>
        <c:axId val="93333184"/>
      </c:lineChart>
      <c:lineChart>
        <c:grouping val="stacked"/>
        <c:varyColors val="0"/>
        <c:ser>
          <c:idx val="12"/>
          <c:order val="1"/>
          <c:tx>
            <c:strRef>
              <c:f>Eingabetabelle!$Q$3</c:f>
              <c:strCache>
                <c:ptCount val="1"/>
                <c:pt idx="0">
                  <c:v>erzeugte Milch/Kuh u. Tag kg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Eingabetabelle!$A$4:$A$30</c:f>
              <c:numCache>
                <c:formatCode>dd/mm/yy;@</c:formatCode>
                <c:ptCount val="27"/>
              </c:numCache>
            </c:numRef>
          </c:cat>
          <c:val>
            <c:numRef>
              <c:f>Eingabetabelle!$Q$4:$Q$30</c:f>
              <c:numCache>
                <c:formatCode>0.0</c:formatCode>
                <c:ptCount val="27"/>
                <c:pt idx="0">
                  <c:v>32.678571428571431</c:v>
                </c:pt>
                <c:pt idx="1">
                  <c:v>33.392857142857146</c:v>
                </c:pt>
                <c:pt idx="2">
                  <c:v>32.160714285714285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C-4A99-A923-404C5D35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0704"/>
        <c:axId val="93333760"/>
      </c:lineChart>
      <c:catAx>
        <c:axId val="9395968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crossAx val="93333184"/>
        <c:crosses val="autoZero"/>
        <c:auto val="1"/>
        <c:lblAlgn val="ctr"/>
        <c:lblOffset val="100"/>
        <c:noMultiLvlLbl val="1"/>
      </c:catAx>
      <c:valAx>
        <c:axId val="93333184"/>
        <c:scaling>
          <c:orientation val="minMax"/>
          <c:max val="27"/>
          <c:min val="18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3959680"/>
        <c:crosses val="autoZero"/>
        <c:crossBetween val="between"/>
      </c:valAx>
      <c:valAx>
        <c:axId val="93333760"/>
        <c:scaling>
          <c:orientation val="minMax"/>
          <c:max val="40"/>
          <c:min val="20"/>
        </c:scaling>
        <c:delete val="0"/>
        <c:axPos val="r"/>
        <c:numFmt formatCode="0.0" sourceLinked="1"/>
        <c:majorTickMark val="out"/>
        <c:minorTickMark val="none"/>
        <c:tickLblPos val="nextTo"/>
        <c:crossAx val="93960704"/>
        <c:crosses val="max"/>
        <c:crossBetween val="between"/>
      </c:valAx>
      <c:catAx>
        <c:axId val="93960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3333760"/>
        <c:crosses val="autoZero"/>
        <c:auto val="1"/>
        <c:lblAlgn val="ctr"/>
        <c:lblOffset val="100"/>
        <c:tickLblSkip val="1"/>
        <c:tickMarkSkip val="1"/>
        <c:noMultiLvlLbl val="1"/>
      </c:catAx>
    </c:plotArea>
    <c:legend>
      <c:legendPos val="r"/>
      <c:layout>
        <c:manualLayout>
          <c:xMode val="edge"/>
          <c:yMode val="edge"/>
          <c:x val="0.75362919362802427"/>
          <c:y val="0.42112277054493402"/>
          <c:w val="0.24472064135547414"/>
          <c:h val="0.11372904316571167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2164330845126"/>
          <c:y val="4.9122360706202246E-2"/>
          <c:w val="0.58730325375952608"/>
          <c:h val="0.85325548856138234"/>
        </c:manualLayout>
      </c:layout>
      <c:lineChart>
        <c:grouping val="standard"/>
        <c:varyColors val="0"/>
        <c:ser>
          <c:idx val="1"/>
          <c:order val="0"/>
          <c:tx>
            <c:strRef>
              <c:f>Eingabetabelle!$S$3</c:f>
              <c:strCache>
                <c:ptCount val="1"/>
                <c:pt idx="0">
                  <c:v>Futter-kosten je 100 kg Milch</c:v>
                </c:pt>
              </c:strCache>
            </c:strRef>
          </c:tx>
          <c:marker>
            <c:symbol val="none"/>
          </c:marker>
          <c:val>
            <c:numRef>
              <c:f>Eingabetabelle!$S$4:$S$30</c:f>
              <c:numCache>
                <c:formatCode>#,##0.00\ "€"</c:formatCode>
                <c:ptCount val="27"/>
                <c:pt idx="0">
                  <c:v>13.769141648062808</c:v>
                </c:pt>
                <c:pt idx="1">
                  <c:v>13.496427104331469</c:v>
                </c:pt>
                <c:pt idx="2">
                  <c:v>13.731159736313076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6-4C9B-8431-163F4BE5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4560"/>
        <c:axId val="93336064"/>
      </c:lineChart>
      <c:lineChart>
        <c:grouping val="standard"/>
        <c:varyColors val="0"/>
        <c:ser>
          <c:idx val="0"/>
          <c:order val="1"/>
          <c:tx>
            <c:strRef>
              <c:f>Eingabetabelle!$R$3</c:f>
              <c:strCache>
                <c:ptCount val="1"/>
                <c:pt idx="0">
                  <c:v>Futter-kosten je Kuh u. Tag</c:v>
                </c:pt>
              </c:strCache>
            </c:strRef>
          </c:tx>
          <c:marker>
            <c:symbol val="none"/>
          </c:marker>
          <c:val>
            <c:numRef>
              <c:f>Eingabetabelle!$R$4:$R$30</c:f>
              <c:numCache>
                <c:formatCode>#,##0.00\ "€"</c:formatCode>
                <c:ptCount val="27"/>
                <c:pt idx="0">
                  <c:v>4.4995587885633821</c:v>
                </c:pt>
                <c:pt idx="1">
                  <c:v>4.5068426223392581</c:v>
                </c:pt>
                <c:pt idx="2">
                  <c:v>4.4160390509106868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6-4C9B-8431-163F4BE5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5584"/>
        <c:axId val="93336640"/>
      </c:lineChart>
      <c:catAx>
        <c:axId val="9459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93336064"/>
        <c:crosses val="autoZero"/>
        <c:auto val="1"/>
        <c:lblAlgn val="ctr"/>
        <c:lblOffset val="100"/>
        <c:noMultiLvlLbl val="0"/>
      </c:catAx>
      <c:valAx>
        <c:axId val="93336064"/>
        <c:scaling>
          <c:orientation val="minMax"/>
          <c:max val="14"/>
          <c:min val="11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94594560"/>
        <c:crosses val="autoZero"/>
        <c:crossBetween val="between"/>
      </c:valAx>
      <c:valAx>
        <c:axId val="93336640"/>
        <c:scaling>
          <c:orientation val="minMax"/>
          <c:max val="4.5"/>
          <c:min val="3.5"/>
        </c:scaling>
        <c:delete val="0"/>
        <c:axPos val="r"/>
        <c:numFmt formatCode="#,##0.00\ &quot;€&quot;" sourceLinked="1"/>
        <c:majorTickMark val="out"/>
        <c:minorTickMark val="none"/>
        <c:tickLblPos val="nextTo"/>
        <c:crossAx val="94595584"/>
        <c:crosses val="max"/>
        <c:crossBetween val="between"/>
      </c:valAx>
      <c:catAx>
        <c:axId val="9459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93336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5356286703330189"/>
          <c:y val="0.38973787473289856"/>
          <c:w val="0.23257231494243463"/>
          <c:h val="0.232700812601750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11</xdr:row>
      <xdr:rowOff>47625</xdr:rowOff>
    </xdr:from>
    <xdr:to>
      <xdr:col>12</xdr:col>
      <xdr:colOff>266700</xdr:colOff>
      <xdr:row>32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685798</xdr:colOff>
      <xdr:row>2</xdr:row>
      <xdr:rowOff>123825</xdr:rowOff>
    </xdr:from>
    <xdr:to>
      <xdr:col>13</xdr:col>
      <xdr:colOff>228600</xdr:colOff>
      <xdr:row>23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4"/>
  <sheetViews>
    <sheetView topLeftCell="A16" workbookViewId="0">
      <selection activeCell="B37" sqref="B37"/>
    </sheetView>
  </sheetViews>
  <sheetFormatPr baseColWidth="10" defaultRowHeight="15" x14ac:dyDescent="0.25"/>
  <cols>
    <col min="1" max="1" width="29" customWidth="1"/>
    <col min="13" max="13" width="16.28515625" customWidth="1"/>
  </cols>
  <sheetData>
    <row r="2" spans="1:4" x14ac:dyDescent="0.25">
      <c r="A2" s="24" t="s">
        <v>55</v>
      </c>
      <c r="B2" s="24"/>
      <c r="C2" s="24"/>
      <c r="D2" s="24"/>
    </row>
    <row r="4" spans="1:4" x14ac:dyDescent="0.25">
      <c r="B4" t="s">
        <v>85</v>
      </c>
    </row>
    <row r="5" spans="1:4" x14ac:dyDescent="0.25">
      <c r="B5" t="s">
        <v>91</v>
      </c>
    </row>
    <row r="6" spans="1:4" x14ac:dyDescent="0.25">
      <c r="B6" t="s">
        <v>86</v>
      </c>
    </row>
    <row r="8" spans="1:4" x14ac:dyDescent="0.25">
      <c r="A8" s="25" t="s">
        <v>75</v>
      </c>
      <c r="B8" t="s">
        <v>77</v>
      </c>
    </row>
    <row r="9" spans="1:4" x14ac:dyDescent="0.25">
      <c r="B9" t="s">
        <v>78</v>
      </c>
    </row>
    <row r="10" spans="1:4" x14ac:dyDescent="0.25">
      <c r="B10" t="s">
        <v>81</v>
      </c>
    </row>
    <row r="11" spans="1:4" x14ac:dyDescent="0.25">
      <c r="B11" t="s">
        <v>84</v>
      </c>
    </row>
    <row r="12" spans="1:4" x14ac:dyDescent="0.25">
      <c r="A12" s="25" t="s">
        <v>60</v>
      </c>
    </row>
    <row r="13" spans="1:4" x14ac:dyDescent="0.25">
      <c r="A13" t="s">
        <v>57</v>
      </c>
      <c r="B13" t="s">
        <v>83</v>
      </c>
    </row>
    <row r="14" spans="1:4" x14ac:dyDescent="0.25">
      <c r="A14" t="s">
        <v>58</v>
      </c>
      <c r="B14" t="s">
        <v>82</v>
      </c>
    </row>
    <row r="15" spans="1:4" x14ac:dyDescent="0.25">
      <c r="A15" t="s">
        <v>59</v>
      </c>
      <c r="B15" t="s">
        <v>90</v>
      </c>
    </row>
    <row r="16" spans="1:4" x14ac:dyDescent="0.25">
      <c r="A16" t="s">
        <v>61</v>
      </c>
      <c r="B16" t="s">
        <v>76</v>
      </c>
    </row>
    <row r="17" spans="1:2" x14ac:dyDescent="0.25">
      <c r="B17" t="s">
        <v>88</v>
      </c>
    </row>
    <row r="18" spans="1:2" x14ac:dyDescent="0.25">
      <c r="A18" t="s">
        <v>62</v>
      </c>
      <c r="B18" t="s">
        <v>89</v>
      </c>
    </row>
    <row r="20" spans="1:2" x14ac:dyDescent="0.25">
      <c r="A20" s="26" t="s">
        <v>63</v>
      </c>
    </row>
    <row r="21" spans="1:2" x14ac:dyDescent="0.25">
      <c r="A21" s="37" t="s">
        <v>66</v>
      </c>
      <c r="B21" t="s">
        <v>67</v>
      </c>
    </row>
    <row r="22" spans="1:2" x14ac:dyDescent="0.25">
      <c r="A22" t="s">
        <v>64</v>
      </c>
      <c r="B22" t="s">
        <v>87</v>
      </c>
    </row>
    <row r="23" spans="1:2" x14ac:dyDescent="0.25">
      <c r="A23" t="s">
        <v>65</v>
      </c>
      <c r="B23" t="s">
        <v>69</v>
      </c>
    </row>
    <row r="24" spans="1:2" x14ac:dyDescent="0.25">
      <c r="A24" s="22" t="s">
        <v>68</v>
      </c>
      <c r="B24" s="21" t="s">
        <v>79</v>
      </c>
    </row>
    <row r="25" spans="1:2" x14ac:dyDescent="0.25">
      <c r="A25" s="21"/>
      <c r="B25" s="21" t="s">
        <v>92</v>
      </c>
    </row>
    <row r="26" spans="1:2" x14ac:dyDescent="0.25">
      <c r="A26" s="21"/>
      <c r="B26" s="21" t="s">
        <v>93</v>
      </c>
    </row>
    <row r="28" spans="1:2" ht="15.75" x14ac:dyDescent="0.25">
      <c r="A28" s="26" t="s">
        <v>70</v>
      </c>
      <c r="B28" s="40" t="s">
        <v>97</v>
      </c>
    </row>
    <row r="29" spans="1:2" x14ac:dyDescent="0.25">
      <c r="B29" s="23" t="s">
        <v>80</v>
      </c>
    </row>
    <row r="30" spans="1:2" x14ac:dyDescent="0.25">
      <c r="B30" s="23" t="s">
        <v>72</v>
      </c>
    </row>
    <row r="31" spans="1:2" x14ac:dyDescent="0.25">
      <c r="B31" s="23" t="s">
        <v>94</v>
      </c>
    </row>
    <row r="32" spans="1:2" x14ac:dyDescent="0.25">
      <c r="B32" s="23" t="s">
        <v>95</v>
      </c>
    </row>
    <row r="33" spans="1:2" x14ac:dyDescent="0.25">
      <c r="B33" s="23" t="s">
        <v>96</v>
      </c>
    </row>
    <row r="34" spans="1:2" x14ac:dyDescent="0.25">
      <c r="A34" t="s">
        <v>73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1"/>
  <sheetViews>
    <sheetView tabSelected="1" view="pageLayout" zoomScaleNormal="120" workbookViewId="0">
      <selection activeCell="A11" sqref="A11"/>
    </sheetView>
  </sheetViews>
  <sheetFormatPr baseColWidth="10" defaultColWidth="11.42578125" defaultRowHeight="12" x14ac:dyDescent="0.2"/>
  <cols>
    <col min="1" max="1" width="7.140625" style="51" customWidth="1"/>
    <col min="2" max="2" width="4.85546875" style="52" customWidth="1"/>
    <col min="3" max="3" width="6.42578125" style="52" customWidth="1"/>
    <col min="4" max="4" width="6.85546875" style="52" customWidth="1"/>
    <col min="5" max="5" width="5.85546875" style="52" customWidth="1"/>
    <col min="6" max="6" width="6.28515625" style="52" customWidth="1"/>
    <col min="7" max="7" width="5.7109375" style="52" customWidth="1"/>
    <col min="8" max="8" width="5.28515625" style="52" customWidth="1"/>
    <col min="9" max="9" width="5.7109375" style="52" customWidth="1"/>
    <col min="10" max="10" width="5.42578125" style="52" customWidth="1"/>
    <col min="11" max="13" width="6.140625" style="52" customWidth="1"/>
    <col min="14" max="14" width="5.42578125" style="52" customWidth="1"/>
    <col min="15" max="15" width="5.85546875" style="53" customWidth="1"/>
    <col min="16" max="16" width="7.28515625" style="54" customWidth="1"/>
    <col min="17" max="17" width="7.85546875" style="55" customWidth="1"/>
    <col min="18" max="18" width="6.5703125" style="54" customWidth="1"/>
    <col min="19" max="19" width="7.85546875" style="56" customWidth="1"/>
    <col min="20" max="20" width="5.7109375" style="57" customWidth="1"/>
    <col min="21" max="21" width="5.85546875" style="57" customWidth="1"/>
    <col min="22" max="22" width="8.42578125" style="52" customWidth="1"/>
    <col min="23" max="16384" width="11.42578125" style="57"/>
  </cols>
  <sheetData>
    <row r="2" spans="1:22" ht="15.75" thickBot="1" x14ac:dyDescent="0.3">
      <c r="S2" s="57"/>
      <c r="U2" s="102">
        <f ca="1">TODAY()</f>
        <v>44424</v>
      </c>
      <c r="V2" s="103"/>
    </row>
    <row r="3" spans="1:22" s="65" customFormat="1" ht="60.75" thickBot="1" x14ac:dyDescent="0.3">
      <c r="A3" s="58" t="s">
        <v>19</v>
      </c>
      <c r="B3" s="59" t="s">
        <v>51</v>
      </c>
      <c r="C3" s="59" t="s">
        <v>99</v>
      </c>
      <c r="D3" s="59" t="s">
        <v>100</v>
      </c>
      <c r="E3" s="59" t="s">
        <v>101</v>
      </c>
      <c r="F3" s="59" t="s">
        <v>102</v>
      </c>
      <c r="G3" s="59" t="str">
        <f>'TS-Gehalte u. Preise'!B17</f>
        <v>Stroh/Luzerne                   kg</v>
      </c>
      <c r="H3" s="59" t="str">
        <f>'TS-Gehalte u. Preise'!B12</f>
        <v xml:space="preserve">Mineral-futter                    kg  </v>
      </c>
      <c r="I3" s="59" t="str">
        <f>'TS-Gehalte u. Preise'!B13</f>
        <v xml:space="preserve">Futter-kalk  kg </v>
      </c>
      <c r="J3" s="59" t="str">
        <f>'TS-Gehalte u. Preise'!B14</f>
        <v>Vieh-salz    kg</v>
      </c>
      <c r="K3" s="59" t="str">
        <f>'TS-Gehalte u. Preise'!B9</f>
        <v>Ausgleichsfutter                kg</v>
      </c>
      <c r="L3" s="59" t="str">
        <f>'TS-Gehalte u. Preise'!B10</f>
        <v>Kraft- /Ausgleichsf. 1       kg</v>
      </c>
      <c r="M3" s="59" t="str">
        <f>'TS-Gehalte u. Preise'!B11</f>
        <v>Kraft- /Ausgleichsf. 2       kg</v>
      </c>
      <c r="N3" s="59" t="s">
        <v>98</v>
      </c>
      <c r="O3" s="60" t="s">
        <v>74</v>
      </c>
      <c r="P3" s="61" t="s">
        <v>113</v>
      </c>
      <c r="Q3" s="62" t="s">
        <v>44</v>
      </c>
      <c r="R3" s="61" t="s">
        <v>42</v>
      </c>
      <c r="S3" s="63" t="s">
        <v>45</v>
      </c>
      <c r="T3" s="64" t="s">
        <v>52</v>
      </c>
      <c r="U3" s="64" t="s">
        <v>118</v>
      </c>
      <c r="V3" s="101" t="s">
        <v>120</v>
      </c>
    </row>
    <row r="4" spans="1:22" x14ac:dyDescent="0.2">
      <c r="A4" s="66"/>
      <c r="B4" s="67">
        <v>56</v>
      </c>
      <c r="C4" s="67">
        <v>1680</v>
      </c>
      <c r="D4" s="67">
        <v>150</v>
      </c>
      <c r="E4" s="67">
        <v>1111</v>
      </c>
      <c r="F4" s="67">
        <v>1111</v>
      </c>
      <c r="G4" s="67">
        <v>40</v>
      </c>
      <c r="H4" s="67">
        <v>12</v>
      </c>
      <c r="I4" s="67">
        <v>5</v>
      </c>
      <c r="J4" s="67">
        <v>10</v>
      </c>
      <c r="K4" s="67">
        <v>125</v>
      </c>
      <c r="L4" s="67">
        <v>250</v>
      </c>
      <c r="M4" s="67">
        <v>30</v>
      </c>
      <c r="N4" s="67">
        <v>150</v>
      </c>
      <c r="O4" s="68">
        <f>IF(B4="","",((E4*'TS-Gehalte u. Preise'!$C$3/100+F4*'TS-Gehalte u. Preise'!$C$4/100+G4*0.86+K4*0.87+L4*0.87+M4*0.87+I4*0.95+J4*0.95)-(N4*'TS-Gehalte u. Preise'!$D$23/100))/B4)</f>
        <v>19.056434933128177</v>
      </c>
      <c r="P4" s="69">
        <f>IF(B4="","",(E4*Kostenermittl.Gras!$E$48+F4*Kostenermittl.Mais!$E$46+G4*'TS-Gehalte u. Preise'!$C$17/100+H4*'TS-Gehalte u. Preise'!$C$12/100+K4*'TS-Gehalte u. Preise'!$C$9/100+L4*'TS-Gehalte u. Preise'!$C$10/100+M4*'TS-Gehalte u. Preise'!$C$11/100+I4*'TS-Gehalte u. Preise'!$C$13/100+J4*'TS-Gehalte u. Preise'!$C$14/100))</f>
        <v>251.97529215954941</v>
      </c>
      <c r="Q4" s="70">
        <f>IF(B4="","",(C4+D4)/B4)</f>
        <v>32.678571428571431</v>
      </c>
      <c r="R4" s="71">
        <f>IF(B4="","",P4/B4)</f>
        <v>4.4995587885633821</v>
      </c>
      <c r="S4" s="72">
        <f>IF(B4="","",R4/Q4*100)</f>
        <v>13.769141648062808</v>
      </c>
      <c r="T4" s="73">
        <f>IF(B4="","",(K4+L4+M4)/(C4+D4))</f>
        <v>0.22131147540983606</v>
      </c>
      <c r="U4" s="97">
        <f>IF(B4="","",((Q4*3.28)-(((K4*'TS-Gehalte u. Preise'!$E$9+L4*'TS-Gehalte u. Preise'!$E$10+M4*'TS-Gehalte u. Preise'!$E$11))/B4))/3.28)</f>
        <v>17.785823170731707</v>
      </c>
      <c r="V4" s="100">
        <f>IF(B4="","",$Q4/$O4)</f>
        <v>1.7148313177803365</v>
      </c>
    </row>
    <row r="5" spans="1:22" x14ac:dyDescent="0.2">
      <c r="A5" s="74"/>
      <c r="B5" s="75">
        <v>56</v>
      </c>
      <c r="C5" s="75">
        <v>1720</v>
      </c>
      <c r="D5" s="75">
        <v>150</v>
      </c>
      <c r="E5" s="75">
        <v>1200</v>
      </c>
      <c r="F5" s="75">
        <v>1200</v>
      </c>
      <c r="G5" s="75">
        <v>40</v>
      </c>
      <c r="H5" s="75">
        <v>12</v>
      </c>
      <c r="I5" s="75">
        <v>5</v>
      </c>
      <c r="J5" s="75">
        <v>10</v>
      </c>
      <c r="K5" s="75">
        <v>110</v>
      </c>
      <c r="L5" s="75">
        <v>230</v>
      </c>
      <c r="M5" s="75">
        <v>28</v>
      </c>
      <c r="N5" s="75">
        <v>150</v>
      </c>
      <c r="O5" s="76">
        <f>IF(B5="","",((E5*'TS-Gehalte u. Preise'!$C$3/100+F5*'TS-Gehalte u. Preise'!$C$4/100+G5*0.86+K5*0.87+L5*0.87+M5*0.87+I5*0.95+J5*0.95)-(N5*'TS-Gehalte u. Preise'!$D$23/100))/B5)</f>
        <v>19.514649218842465</v>
      </c>
      <c r="P5" s="77">
        <f>IF(B5="","",(E5*Kostenermittl.Gras!$E$48+F5*Kostenermittl.Mais!$E$46+G5*'TS-Gehalte u. Preise'!$C$17/100+H5*'TS-Gehalte u. Preise'!$C$12/100+K5*'TS-Gehalte u. Preise'!$C$9/100+L5*'TS-Gehalte u. Preise'!$C$10/100+M5*'TS-Gehalte u. Preise'!$C$11/100+I5*'TS-Gehalte u. Preise'!$C$13/100+J5*'TS-Gehalte u. Preise'!$C$14/100))</f>
        <v>252.38318685099847</v>
      </c>
      <c r="Q5" s="78">
        <f t="shared" ref="Q5:Q30" si="0">IF(B5="","",(C5+D5)/B5)</f>
        <v>33.392857142857146</v>
      </c>
      <c r="R5" s="79">
        <f t="shared" ref="R5:R30" si="1">IF(B5="","",P5/B5)</f>
        <v>4.5068426223392581</v>
      </c>
      <c r="S5" s="80">
        <f t="shared" ref="S5:S30" si="2">IF(B5="","",R5/Q5*100)</f>
        <v>13.496427104331469</v>
      </c>
      <c r="T5" s="81">
        <f t="shared" ref="T5:T30" si="3">IF(B5="","",(K5+L5+M5)/(C5+D5))</f>
        <v>0.19679144385026737</v>
      </c>
      <c r="U5" s="98">
        <f>IF(B5="","",((Q5*3.28)-(((K5*'TS-Gehalte u. Preise'!$E$9+L5*'TS-Gehalte u. Preise'!$E$10+M5*'TS-Gehalte u. Preise'!$E$11))/B5))/3.28)</f>
        <v>19.843205574912893</v>
      </c>
      <c r="V5" s="100">
        <f t="shared" ref="V5:V30" si="4">IF(B5="","",$Q5/$O5)</f>
        <v>1.7111687106635005</v>
      </c>
    </row>
    <row r="6" spans="1:22" x14ac:dyDescent="0.2">
      <c r="A6" s="74"/>
      <c r="B6" s="75">
        <v>56</v>
      </c>
      <c r="C6" s="75">
        <v>1701</v>
      </c>
      <c r="D6" s="75">
        <v>100</v>
      </c>
      <c r="E6" s="75">
        <v>1200</v>
      </c>
      <c r="F6" s="75">
        <v>1200</v>
      </c>
      <c r="G6" s="75">
        <v>40</v>
      </c>
      <c r="H6" s="75">
        <v>12</v>
      </c>
      <c r="I6" s="75">
        <v>5</v>
      </c>
      <c r="J6" s="75">
        <v>10</v>
      </c>
      <c r="K6" s="75">
        <v>100</v>
      </c>
      <c r="L6" s="75">
        <v>224</v>
      </c>
      <c r="M6" s="75">
        <v>25</v>
      </c>
      <c r="N6" s="75">
        <v>150</v>
      </c>
      <c r="O6" s="76">
        <f>IF(B6="","",((E6*'TS-Gehalte u. Preise'!$C$3/100+F6*'TS-Gehalte u. Preise'!$C$4/100+G6*0.86+K6*0.87+L6*0.87+M6*0.87+I6*0.95+J6*0.95)-(N6*'TS-Gehalte u. Preise'!$D$23/100))/B6)</f>
        <v>19.219470647413893</v>
      </c>
      <c r="P6" s="77">
        <f>IF(B6="","",(E6*Kostenermittl.Gras!$E$48+F6*Kostenermittl.Mais!$E$46+G6*'TS-Gehalte u. Preise'!$C$17/100+H6*'TS-Gehalte u. Preise'!$C$12/100+K6*'TS-Gehalte u. Preise'!$C$9/100+L6*'TS-Gehalte u. Preise'!$C$10/100+M6*'TS-Gehalte u. Preise'!$C$11/100+I6*'TS-Gehalte u. Preise'!$C$13/100+J6*'TS-Gehalte u. Preise'!$C$14/100))</f>
        <v>247.29818685099846</v>
      </c>
      <c r="Q6" s="78">
        <f t="shared" si="0"/>
        <v>32.160714285714285</v>
      </c>
      <c r="R6" s="79">
        <f t="shared" si="1"/>
        <v>4.4160390509106868</v>
      </c>
      <c r="S6" s="80">
        <f t="shared" si="2"/>
        <v>13.731159736313076</v>
      </c>
      <c r="T6" s="81">
        <f t="shared" si="3"/>
        <v>0.19378123264852859</v>
      </c>
      <c r="U6" s="98">
        <f>IF(B6="","",((Q6*3.28)-(((K6*'TS-Gehalte u. Preise'!$E$9+L6*'TS-Gehalte u. Preise'!$E$10+M6*'TS-Gehalte u. Preise'!$E$11))/B6))/3.28)</f>
        <v>19.282883275261323</v>
      </c>
      <c r="V6" s="100">
        <f t="shared" si="4"/>
        <v>1.6733402743348564</v>
      </c>
    </row>
    <row r="7" spans="1:22" x14ac:dyDescent="0.2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 t="str">
        <f>IF(B7="","",((E7*'TS-Gehalte u. Preise'!$C$3/100+F7*'TS-Gehalte u. Preise'!$C$4/100+G7*0.86+K7*0.87+L7*0.87+M7*0.87+I7*0.95+J7*0.95)-(N7*'TS-Gehalte u. Preise'!$D$23/100))/B7)</f>
        <v/>
      </c>
      <c r="P7" s="77" t="str">
        <f>IF(B7="","",(E7*Kostenermittl.Gras!$E$48+F7*Kostenermittl.Mais!$E$46+G7*'TS-Gehalte u. Preise'!$C$17/100+H7*'TS-Gehalte u. Preise'!$C$12/100+K7*'TS-Gehalte u. Preise'!$C$9/100+L7*'TS-Gehalte u. Preise'!$C$10/100+M7*'TS-Gehalte u. Preise'!$C$11/100+I7*'TS-Gehalte u. Preise'!$C$13/100+J7*'TS-Gehalte u. Preise'!$C$14/100))</f>
        <v/>
      </c>
      <c r="Q7" s="78" t="str">
        <f t="shared" si="0"/>
        <v/>
      </c>
      <c r="R7" s="79" t="str">
        <f t="shared" si="1"/>
        <v/>
      </c>
      <c r="S7" s="80" t="str">
        <f t="shared" si="2"/>
        <v/>
      </c>
      <c r="T7" s="81" t="str">
        <f t="shared" si="3"/>
        <v/>
      </c>
      <c r="U7" s="98" t="str">
        <f>IF(B7="","",((Q7*3.28)-(((K7*'TS-Gehalte u. Preise'!$E$9+L7*'TS-Gehalte u. Preise'!$E$10+M7*'TS-Gehalte u. Preise'!$E$11))/B7))/3.28)</f>
        <v/>
      </c>
      <c r="V7" s="100" t="str">
        <f t="shared" si="4"/>
        <v/>
      </c>
    </row>
    <row r="8" spans="1:22" x14ac:dyDescent="0.2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 t="str">
        <f>IF(B8="","",((E8*'TS-Gehalte u. Preise'!$C$3/100+F8*'TS-Gehalte u. Preise'!$C$4/100+G8*0.86+K8*0.87+L8*0.87+M8*0.87+I8*0.95+J8*0.95)-(N8*'TS-Gehalte u. Preise'!$D$23/100))/B8)</f>
        <v/>
      </c>
      <c r="P8" s="77" t="str">
        <f>IF(B8="","",(E8*Kostenermittl.Gras!$E$48+F8*Kostenermittl.Mais!$E$46+G8*'TS-Gehalte u. Preise'!$C$17/100+H8*'TS-Gehalte u. Preise'!$C$12/100+K8*'TS-Gehalte u. Preise'!$C$9/100+L8*'TS-Gehalte u. Preise'!$C$10/100+M8*'TS-Gehalte u. Preise'!$C$11/100+I8*'TS-Gehalte u. Preise'!$C$13/100+J8*'TS-Gehalte u. Preise'!$C$14/100))</f>
        <v/>
      </c>
      <c r="Q8" s="78" t="str">
        <f t="shared" si="0"/>
        <v/>
      </c>
      <c r="R8" s="79" t="str">
        <f t="shared" si="1"/>
        <v/>
      </c>
      <c r="S8" s="80" t="str">
        <f t="shared" si="2"/>
        <v/>
      </c>
      <c r="T8" s="81" t="str">
        <f t="shared" si="3"/>
        <v/>
      </c>
      <c r="U8" s="98" t="str">
        <f>IF(B8="","",((Q8*3.28)-(((K8*'TS-Gehalte u. Preise'!$E$9+L8*'TS-Gehalte u. Preise'!$E$10+M8*'TS-Gehalte u. Preise'!$E$11))/B8))/3.28)</f>
        <v/>
      </c>
      <c r="V8" s="100" t="str">
        <f t="shared" si="4"/>
        <v/>
      </c>
    </row>
    <row r="9" spans="1:22" x14ac:dyDescent="0.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6" t="str">
        <f>IF(B9="","",((E9*'TS-Gehalte u. Preise'!$C$3/100+F9*'TS-Gehalte u. Preise'!$C$4/100+G9*0.86+K9*0.87+L9*0.87+M9*0.87+I9*0.95+J9*0.95)-(N9*'TS-Gehalte u. Preise'!$D$23/100))/B9)</f>
        <v/>
      </c>
      <c r="P9" s="77" t="str">
        <f>IF(B9="","",(E9*Kostenermittl.Gras!$E$48+F9*Kostenermittl.Mais!$E$46+G9*'TS-Gehalte u. Preise'!$C$17/100+H9*'TS-Gehalte u. Preise'!$C$12/100+K9*'TS-Gehalte u. Preise'!$C$9/100+L9*'TS-Gehalte u. Preise'!$C$10/100+M9*'TS-Gehalte u. Preise'!$C$11/100+I9*'TS-Gehalte u. Preise'!$C$13/100+J9*'TS-Gehalte u. Preise'!$C$14/100))</f>
        <v/>
      </c>
      <c r="Q9" s="78" t="str">
        <f t="shared" si="0"/>
        <v/>
      </c>
      <c r="R9" s="79" t="str">
        <f t="shared" si="1"/>
        <v/>
      </c>
      <c r="S9" s="80" t="str">
        <f t="shared" si="2"/>
        <v/>
      </c>
      <c r="T9" s="81" t="str">
        <f t="shared" si="3"/>
        <v/>
      </c>
      <c r="U9" s="98" t="str">
        <f>IF(B9="","",((Q9*3.28)-(((K9*'TS-Gehalte u. Preise'!$E$9+L9*'TS-Gehalte u. Preise'!$E$10+M9*'TS-Gehalte u. Preise'!$E$11))/B9))/3.28)</f>
        <v/>
      </c>
      <c r="V9" s="100" t="str">
        <f t="shared" si="4"/>
        <v/>
      </c>
    </row>
    <row r="10" spans="1:22" x14ac:dyDescent="0.2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 t="str">
        <f>IF(B10="","",((E10*'TS-Gehalte u. Preise'!$C$3/100+F10*'TS-Gehalte u. Preise'!$C$4/100+G10*0.86+K10*0.87+L10*0.87+M10*0.87+I10*0.95+J10*0.95)-(N10*'TS-Gehalte u. Preise'!$D$23/100))/B10)</f>
        <v/>
      </c>
      <c r="P10" s="77" t="str">
        <f>IF(B10="","",(E10*Kostenermittl.Gras!$E$48+F10*Kostenermittl.Mais!$E$46+G10*'TS-Gehalte u. Preise'!$C$17/100+H10*'TS-Gehalte u. Preise'!$C$12/100+K10*'TS-Gehalte u. Preise'!$C$9/100+L10*'TS-Gehalte u. Preise'!$C$10/100+M10*'TS-Gehalte u. Preise'!$C$11/100+I10*'TS-Gehalte u. Preise'!$C$13/100+J10*'TS-Gehalte u. Preise'!$C$14/100))</f>
        <v/>
      </c>
      <c r="Q10" s="78" t="str">
        <f t="shared" si="0"/>
        <v/>
      </c>
      <c r="R10" s="79" t="str">
        <f t="shared" si="1"/>
        <v/>
      </c>
      <c r="S10" s="80" t="str">
        <f t="shared" si="2"/>
        <v/>
      </c>
      <c r="T10" s="81" t="str">
        <f t="shared" si="3"/>
        <v/>
      </c>
      <c r="U10" s="98" t="str">
        <f>IF(B10="","",((Q10*3.28)-(((K10*'TS-Gehalte u. Preise'!$E$9+L10*'TS-Gehalte u. Preise'!$E$10+M10*'TS-Gehalte u. Preise'!$E$11))/B10))/3.28)</f>
        <v/>
      </c>
      <c r="V10" s="100" t="str">
        <f t="shared" si="4"/>
        <v/>
      </c>
    </row>
    <row r="11" spans="1:22" x14ac:dyDescent="0.2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 t="str">
        <f>IF(B11="","",((E11*'TS-Gehalte u. Preise'!$C$3/100+F11*'TS-Gehalte u. Preise'!$C$4/100+G11*0.86+K11*0.87+L11*0.87+M11*0.87+I11*0.95+J11*0.95)-(N11*'TS-Gehalte u. Preise'!$D$23/100))/B11)</f>
        <v/>
      </c>
      <c r="P11" s="77" t="str">
        <f>IF(B11="","",(E11*Kostenermittl.Gras!$E$48+F11*Kostenermittl.Mais!$E$46+G11*'TS-Gehalte u. Preise'!$C$17/100+H11*'TS-Gehalte u. Preise'!$C$12/100+K11*'TS-Gehalte u. Preise'!$C$9/100+L11*'TS-Gehalte u. Preise'!$C$10/100+M11*'TS-Gehalte u. Preise'!$C$11/100+I11*'TS-Gehalte u. Preise'!$C$13/100+J11*'TS-Gehalte u. Preise'!$C$14/100))</f>
        <v/>
      </c>
      <c r="Q11" s="78" t="str">
        <f t="shared" si="0"/>
        <v/>
      </c>
      <c r="R11" s="79" t="str">
        <f t="shared" si="1"/>
        <v/>
      </c>
      <c r="S11" s="80" t="str">
        <f t="shared" si="2"/>
        <v/>
      </c>
      <c r="T11" s="81" t="str">
        <f t="shared" si="3"/>
        <v/>
      </c>
      <c r="U11" s="98" t="str">
        <f>IF(B11="","",((Q11*3.28)-(((K11*'TS-Gehalte u. Preise'!$E$9+L11*'TS-Gehalte u. Preise'!$E$10+M11*'TS-Gehalte u. Preise'!$E$11))/B11))/3.28)</f>
        <v/>
      </c>
      <c r="V11" s="100" t="str">
        <f t="shared" si="4"/>
        <v/>
      </c>
    </row>
    <row r="12" spans="1:22" x14ac:dyDescent="0.2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 t="str">
        <f>IF(B12="","",((E12*'TS-Gehalte u. Preise'!$C$3/100+F12*'TS-Gehalte u. Preise'!$C$4/100+G12*0.86+K12*0.87+L12*0.87+M12*0.87+I12*0.95+J12*0.95)-(N12*'TS-Gehalte u. Preise'!$D$23/100))/B12)</f>
        <v/>
      </c>
      <c r="P12" s="77" t="str">
        <f>IF(B12="","",(E12*Kostenermittl.Gras!$E$48+F12*Kostenermittl.Mais!$E$46+G12*'TS-Gehalte u. Preise'!$C$17/100+H12*'TS-Gehalte u. Preise'!$C$12/100+K12*'TS-Gehalte u. Preise'!$C$9/100+L12*'TS-Gehalte u. Preise'!$C$10/100+M12*'TS-Gehalte u. Preise'!$C$11/100+I12*'TS-Gehalte u. Preise'!$C$13/100+J12*'TS-Gehalte u. Preise'!$C$14/100))</f>
        <v/>
      </c>
      <c r="Q12" s="78" t="str">
        <f t="shared" si="0"/>
        <v/>
      </c>
      <c r="R12" s="79" t="str">
        <f t="shared" si="1"/>
        <v/>
      </c>
      <c r="S12" s="80" t="str">
        <f t="shared" si="2"/>
        <v/>
      </c>
      <c r="T12" s="81" t="str">
        <f t="shared" si="3"/>
        <v/>
      </c>
      <c r="U12" s="98" t="str">
        <f>IF(B12="","",((Q12*3.28)-(((K12*'TS-Gehalte u. Preise'!$E$9+L12*'TS-Gehalte u. Preise'!$E$10+M12*'TS-Gehalte u. Preise'!$E$11))/B12))/3.28)</f>
        <v/>
      </c>
      <c r="V12" s="100" t="str">
        <f t="shared" si="4"/>
        <v/>
      </c>
    </row>
    <row r="13" spans="1:22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6" t="str">
        <f>IF(B13="","",((E13*'TS-Gehalte u. Preise'!$C$3/100+F13*'TS-Gehalte u. Preise'!$C$4/100+G13*0.86+K13*0.87+L13*0.87+M13*0.87+I13*0.95+J13*0.95)-(N13*'TS-Gehalte u. Preise'!$D$23/100))/B13)</f>
        <v/>
      </c>
      <c r="P13" s="77" t="str">
        <f>IF(B13="","",(E13*Kostenermittl.Gras!$E$48+F13*Kostenermittl.Mais!$E$46+G13*'TS-Gehalte u. Preise'!$C$17/100+H13*'TS-Gehalte u. Preise'!$C$12/100+K13*'TS-Gehalte u. Preise'!$C$9/100+L13*'TS-Gehalte u. Preise'!$C$10/100+M13*'TS-Gehalte u. Preise'!$C$11/100+I13*'TS-Gehalte u. Preise'!$C$13/100+J13*'TS-Gehalte u. Preise'!$C$14/100))</f>
        <v/>
      </c>
      <c r="Q13" s="78" t="str">
        <f t="shared" si="0"/>
        <v/>
      </c>
      <c r="R13" s="79" t="str">
        <f t="shared" si="1"/>
        <v/>
      </c>
      <c r="S13" s="80" t="str">
        <f t="shared" si="2"/>
        <v/>
      </c>
      <c r="T13" s="81" t="str">
        <f t="shared" si="3"/>
        <v/>
      </c>
      <c r="U13" s="98" t="str">
        <f>IF(B13="","",((Q13*3.28)-(((K13*'TS-Gehalte u. Preise'!$E$9+L13*'TS-Gehalte u. Preise'!$E$10+M13*'TS-Gehalte u. Preise'!$E$11))/B13))/3.28)</f>
        <v/>
      </c>
      <c r="V13" s="100" t="str">
        <f t="shared" si="4"/>
        <v/>
      </c>
    </row>
    <row r="14" spans="1:22" x14ac:dyDescent="0.2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6" t="str">
        <f>IF(B14="","",((E14*'TS-Gehalte u. Preise'!$C$3/100+F14*'TS-Gehalte u. Preise'!$C$4/100+G14*0.86+K14*0.87+L14*0.87+M14*0.87+I14*0.95+J14*0.95)-(N14*'TS-Gehalte u. Preise'!$D$23/100))/B14)</f>
        <v/>
      </c>
      <c r="P14" s="77" t="str">
        <f>IF(B14="","",(E14*Kostenermittl.Gras!$E$48+F14*Kostenermittl.Mais!$E$46+G14*'TS-Gehalte u. Preise'!$C$17/100+H14*'TS-Gehalte u. Preise'!$C$12/100+K14*'TS-Gehalte u. Preise'!$C$9/100+L14*'TS-Gehalte u. Preise'!$C$10/100+M14*'TS-Gehalte u. Preise'!$C$11/100+I14*'TS-Gehalte u. Preise'!$C$13/100+J14*'TS-Gehalte u. Preise'!$C$14/100))</f>
        <v/>
      </c>
      <c r="Q14" s="78" t="str">
        <f t="shared" si="0"/>
        <v/>
      </c>
      <c r="R14" s="79" t="str">
        <f t="shared" si="1"/>
        <v/>
      </c>
      <c r="S14" s="80" t="str">
        <f t="shared" si="2"/>
        <v/>
      </c>
      <c r="T14" s="81" t="str">
        <f t="shared" si="3"/>
        <v/>
      </c>
      <c r="U14" s="98" t="str">
        <f>IF(B14="","",((Q14*3.28)-(((K14*'TS-Gehalte u. Preise'!$E$9+L14*'TS-Gehalte u. Preise'!$E$10+M14*'TS-Gehalte u. Preise'!$E$11))/B14))/3.28)</f>
        <v/>
      </c>
      <c r="V14" s="100" t="str">
        <f t="shared" si="4"/>
        <v/>
      </c>
    </row>
    <row r="15" spans="1:22" x14ac:dyDescent="0.2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 t="str">
        <f>IF(B15="","",((E15*'TS-Gehalte u. Preise'!$C$3/100+F15*'TS-Gehalte u. Preise'!$C$4/100+G15*0.86+K15*0.87+L15*0.87+M15*0.87+I15*0.95+J15*0.95)-(N15*'TS-Gehalte u. Preise'!$D$23/100))/B15)</f>
        <v/>
      </c>
      <c r="P15" s="77" t="str">
        <f>IF(B15="","",(E15*Kostenermittl.Gras!$E$48+F15*Kostenermittl.Mais!$E$46+G15*'TS-Gehalte u. Preise'!$C$17/100+H15*'TS-Gehalte u. Preise'!$C$12/100+K15*'TS-Gehalte u. Preise'!$C$9/100+L15*'TS-Gehalte u. Preise'!$C$10/100+M15*'TS-Gehalte u. Preise'!$C$11/100+I15*'TS-Gehalte u. Preise'!$C$13/100+J15*'TS-Gehalte u. Preise'!$C$14/100))</f>
        <v/>
      </c>
      <c r="Q15" s="78" t="str">
        <f t="shared" si="0"/>
        <v/>
      </c>
      <c r="R15" s="79" t="str">
        <f t="shared" si="1"/>
        <v/>
      </c>
      <c r="S15" s="80" t="str">
        <f t="shared" si="2"/>
        <v/>
      </c>
      <c r="T15" s="81" t="str">
        <f t="shared" si="3"/>
        <v/>
      </c>
      <c r="U15" s="98" t="str">
        <f>IF(B15="","",((Q15*3.28)-(((K15*'TS-Gehalte u. Preise'!$E$9+L15*'TS-Gehalte u. Preise'!$E$10+M15*'TS-Gehalte u. Preise'!$E$11))/B15))/3.28)</f>
        <v/>
      </c>
      <c r="V15" s="100" t="str">
        <f t="shared" si="4"/>
        <v/>
      </c>
    </row>
    <row r="16" spans="1:22" x14ac:dyDescent="0.2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 t="str">
        <f>IF(B16="","",((E16*'TS-Gehalte u. Preise'!$C$3/100+F16*'TS-Gehalte u. Preise'!$C$4/100+G16*0.86+K16*0.87+L16*0.87+M16*0.87+I16*0.95+J16*0.95)-(N16*'TS-Gehalte u. Preise'!$D$23/100))/B16)</f>
        <v/>
      </c>
      <c r="P16" s="77" t="str">
        <f>IF(B16="","",(E16*Kostenermittl.Gras!$E$48+F16*Kostenermittl.Mais!$E$46+G16*'TS-Gehalte u. Preise'!$C$17/100+H16*'TS-Gehalte u. Preise'!$C$12/100+K16*'TS-Gehalte u. Preise'!$C$9/100+L16*'TS-Gehalte u. Preise'!$C$10/100+M16*'TS-Gehalte u. Preise'!$C$11/100+I16*'TS-Gehalte u. Preise'!$C$13/100+J16*'TS-Gehalte u. Preise'!$C$14/100))</f>
        <v/>
      </c>
      <c r="Q16" s="78" t="str">
        <f t="shared" si="0"/>
        <v/>
      </c>
      <c r="R16" s="79" t="str">
        <f t="shared" si="1"/>
        <v/>
      </c>
      <c r="S16" s="80" t="str">
        <f t="shared" si="2"/>
        <v/>
      </c>
      <c r="T16" s="81" t="str">
        <f t="shared" si="3"/>
        <v/>
      </c>
      <c r="U16" s="98" t="str">
        <f>IF(B16="","",((Q16*3.28)-(((K16*'TS-Gehalte u. Preise'!$E$9+L16*'TS-Gehalte u. Preise'!$E$10+M16*'TS-Gehalte u. Preise'!$E$11))/B16))/3.28)</f>
        <v/>
      </c>
      <c r="V16" s="100" t="str">
        <f t="shared" si="4"/>
        <v/>
      </c>
    </row>
    <row r="17" spans="1:22" x14ac:dyDescent="0.2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 t="str">
        <f>IF(B17="","",((E17*'TS-Gehalte u. Preise'!$C$3/100+F17*'TS-Gehalte u. Preise'!$C$4/100+G17*0.86+K17*0.87+L17*0.87+M17*0.87+I17*0.95+J17*0.95)-(N17*'TS-Gehalte u. Preise'!$D$23/100))/B17)</f>
        <v/>
      </c>
      <c r="P17" s="77" t="str">
        <f>IF(B17="","",(E17*Kostenermittl.Gras!$E$48+F17*Kostenermittl.Mais!$E$46+G17*'TS-Gehalte u. Preise'!$C$17/100+H17*'TS-Gehalte u. Preise'!$C$12/100+K17*'TS-Gehalte u. Preise'!$C$9/100+L17*'TS-Gehalte u. Preise'!$C$10/100+M17*'TS-Gehalte u. Preise'!$C$11/100+I17*'TS-Gehalte u. Preise'!$C$13/100+J17*'TS-Gehalte u. Preise'!$C$14/100))</f>
        <v/>
      </c>
      <c r="Q17" s="78" t="str">
        <f t="shared" si="0"/>
        <v/>
      </c>
      <c r="R17" s="79" t="str">
        <f t="shared" si="1"/>
        <v/>
      </c>
      <c r="S17" s="80" t="str">
        <f t="shared" si="2"/>
        <v/>
      </c>
      <c r="T17" s="81" t="str">
        <f t="shared" si="3"/>
        <v/>
      </c>
      <c r="U17" s="98" t="str">
        <f>IF(B17="","",((Q17*3.28)-(((K17*'TS-Gehalte u. Preise'!$E$9+L17*'TS-Gehalte u. Preise'!$E$10+M17*'TS-Gehalte u. Preise'!$E$11))/B17))/3.28)</f>
        <v/>
      </c>
      <c r="V17" s="100" t="str">
        <f t="shared" si="4"/>
        <v/>
      </c>
    </row>
    <row r="18" spans="1:22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6" t="str">
        <f>IF(B18="","",((E18*'TS-Gehalte u. Preise'!$C$3/100+F18*'TS-Gehalte u. Preise'!$C$4/100+G18*0.86+K18*0.87+L18*0.87+M18*0.87+I18*0.95+J18*0.95)-(N18*'TS-Gehalte u. Preise'!$D$23/100))/B18)</f>
        <v/>
      </c>
      <c r="P18" s="77" t="str">
        <f>IF(B18="","",(E18*Kostenermittl.Gras!$E$48+F18*Kostenermittl.Mais!$E$46+G18*'TS-Gehalte u. Preise'!$C$17/100+H18*'TS-Gehalte u. Preise'!$C$12/100+K18*'TS-Gehalte u. Preise'!$C$9/100+L18*'TS-Gehalte u. Preise'!$C$10/100+M18*'TS-Gehalte u. Preise'!$C$11/100+I18*'TS-Gehalte u. Preise'!$C$13/100+J18*'TS-Gehalte u. Preise'!$C$14/100))</f>
        <v/>
      </c>
      <c r="Q18" s="78" t="str">
        <f t="shared" si="0"/>
        <v/>
      </c>
      <c r="R18" s="79" t="str">
        <f t="shared" si="1"/>
        <v/>
      </c>
      <c r="S18" s="80" t="str">
        <f t="shared" si="2"/>
        <v/>
      </c>
      <c r="T18" s="81" t="str">
        <f t="shared" si="3"/>
        <v/>
      </c>
      <c r="U18" s="98" t="str">
        <f>IF(B18="","",((Q18*3.28)-(((K18*'TS-Gehalte u. Preise'!$E$9+L18*'TS-Gehalte u. Preise'!$E$10+M18*'TS-Gehalte u. Preise'!$E$11))/B18))/3.28)</f>
        <v/>
      </c>
      <c r="V18" s="100" t="str">
        <f t="shared" si="4"/>
        <v/>
      </c>
    </row>
    <row r="19" spans="1:22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6" t="str">
        <f>IF(B19="","",((E19*'TS-Gehalte u. Preise'!$C$3/100+F19*'TS-Gehalte u. Preise'!$C$4/100+G19*0.86+K19*0.87+L19*0.87+M19*0.87+I19*0.95+J19*0.95)-(N19*'TS-Gehalte u. Preise'!$D$23/100))/B19)</f>
        <v/>
      </c>
      <c r="P19" s="77" t="str">
        <f>IF(B19="","",(E19*Kostenermittl.Gras!$E$48+F19*Kostenermittl.Mais!$E$46+G19*'TS-Gehalte u. Preise'!$C$17/100+H19*'TS-Gehalte u. Preise'!$C$12/100+K19*'TS-Gehalte u. Preise'!$C$9/100+L19*'TS-Gehalte u. Preise'!$C$10/100+M19*'TS-Gehalte u. Preise'!$C$11/100+I19*'TS-Gehalte u. Preise'!$C$13/100+J19*'TS-Gehalte u. Preise'!$C$14/100))</f>
        <v/>
      </c>
      <c r="Q19" s="78" t="str">
        <f t="shared" si="0"/>
        <v/>
      </c>
      <c r="R19" s="79" t="str">
        <f t="shared" si="1"/>
        <v/>
      </c>
      <c r="S19" s="80" t="str">
        <f t="shared" si="2"/>
        <v/>
      </c>
      <c r="T19" s="81" t="str">
        <f t="shared" si="3"/>
        <v/>
      </c>
      <c r="U19" s="98" t="str">
        <f>IF(B19="","",((Q19*3.28)-(((K19*'TS-Gehalte u. Preise'!$E$9+L19*'TS-Gehalte u. Preise'!$E$10+M19*'TS-Gehalte u. Preise'!$E$11))/B19))/3.28)</f>
        <v/>
      </c>
      <c r="V19" s="100" t="str">
        <f t="shared" si="4"/>
        <v/>
      </c>
    </row>
    <row r="20" spans="1:22" x14ac:dyDescent="0.2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6" t="str">
        <f>IF(B20="","",((E20*'TS-Gehalte u. Preise'!$C$3/100+F20*'TS-Gehalte u. Preise'!$C$4/100+G20*0.86+K20*0.87+L20*0.87+M20*0.87+I20*0.95+J20*0.95)-(N20*'TS-Gehalte u. Preise'!$D$23/100))/B20)</f>
        <v/>
      </c>
      <c r="P20" s="77" t="str">
        <f>IF(B20="","",(E20*Kostenermittl.Gras!$E$48+F20*Kostenermittl.Mais!$E$46+G20*'TS-Gehalte u. Preise'!$C$17/100+H20*'TS-Gehalte u. Preise'!$C$12/100+K20*'TS-Gehalte u. Preise'!$C$9/100+L20*'TS-Gehalte u. Preise'!$C$10/100+M20*'TS-Gehalte u. Preise'!$C$11/100+I20*'TS-Gehalte u. Preise'!$C$13/100+J20*'TS-Gehalte u. Preise'!$C$14/100))</f>
        <v/>
      </c>
      <c r="Q20" s="78" t="str">
        <f t="shared" si="0"/>
        <v/>
      </c>
      <c r="R20" s="79" t="str">
        <f t="shared" si="1"/>
        <v/>
      </c>
      <c r="S20" s="80" t="str">
        <f t="shared" si="2"/>
        <v/>
      </c>
      <c r="T20" s="81" t="str">
        <f t="shared" si="3"/>
        <v/>
      </c>
      <c r="U20" s="98" t="str">
        <f>IF(B20="","",((Q20*3.28)-(((K20*'TS-Gehalte u. Preise'!$E$9+L20*'TS-Gehalte u. Preise'!$E$10+M20*'TS-Gehalte u. Preise'!$E$11))/B20))/3.28)</f>
        <v/>
      </c>
      <c r="V20" s="100" t="str">
        <f t="shared" si="4"/>
        <v/>
      </c>
    </row>
    <row r="21" spans="1:22" x14ac:dyDescent="0.2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6" t="str">
        <f>IF(B21="","",((E21*'TS-Gehalte u. Preise'!$C$3/100+F21*'TS-Gehalte u. Preise'!$C$4/100+G21*0.86+K21*0.87+L21*0.87+M21*0.87+I21*0.95+J21*0.95)-(N21*'TS-Gehalte u. Preise'!$D$23/100))/B21)</f>
        <v/>
      </c>
      <c r="P21" s="77" t="str">
        <f>IF(B21="","",(E21*Kostenermittl.Gras!$E$48+F21*Kostenermittl.Mais!$E$46+G21*'TS-Gehalte u. Preise'!$C$17/100+H21*'TS-Gehalte u. Preise'!$C$12/100+K21*'TS-Gehalte u. Preise'!$C$9/100+L21*'TS-Gehalte u. Preise'!$C$10/100+M21*'TS-Gehalte u. Preise'!$C$11/100+I21*'TS-Gehalte u. Preise'!$C$13/100+J21*'TS-Gehalte u. Preise'!$C$14/100))</f>
        <v/>
      </c>
      <c r="Q21" s="78" t="str">
        <f t="shared" si="0"/>
        <v/>
      </c>
      <c r="R21" s="79" t="str">
        <f t="shared" si="1"/>
        <v/>
      </c>
      <c r="S21" s="80" t="str">
        <f t="shared" si="2"/>
        <v/>
      </c>
      <c r="T21" s="81" t="str">
        <f t="shared" si="3"/>
        <v/>
      </c>
      <c r="U21" s="98" t="str">
        <f>IF(B21="","",((Q21*3.28)-(((K21*'TS-Gehalte u. Preise'!$E$9+L21*'TS-Gehalte u. Preise'!$E$10+M21*'TS-Gehalte u. Preise'!$E$11))/B21))/3.28)</f>
        <v/>
      </c>
      <c r="V21" s="100" t="str">
        <f t="shared" si="4"/>
        <v/>
      </c>
    </row>
    <row r="22" spans="1:22" x14ac:dyDescent="0.2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 t="str">
        <f>IF(B22="","",((E22*'TS-Gehalte u. Preise'!$C$3/100+F22*'TS-Gehalte u. Preise'!$C$4/100+G22*0.86+K22*0.87+L22*0.87+M22*0.87+I22*0.95+J22*0.95)-(N22*'TS-Gehalte u. Preise'!$D$23/100))/B22)</f>
        <v/>
      </c>
      <c r="P22" s="77" t="str">
        <f>IF(B22="","",(E22*Kostenermittl.Gras!$E$48+F22*Kostenermittl.Mais!$E$46+G22*'TS-Gehalte u. Preise'!$C$17/100+H22*'TS-Gehalte u. Preise'!$C$12/100+K22*'TS-Gehalte u. Preise'!$C$9/100+L22*'TS-Gehalte u. Preise'!$C$10/100+M22*'TS-Gehalte u. Preise'!$C$11/100+I22*'TS-Gehalte u. Preise'!$C$13/100+J22*'TS-Gehalte u. Preise'!$C$14/100))</f>
        <v/>
      </c>
      <c r="Q22" s="78" t="str">
        <f t="shared" si="0"/>
        <v/>
      </c>
      <c r="R22" s="79" t="str">
        <f t="shared" si="1"/>
        <v/>
      </c>
      <c r="S22" s="80" t="str">
        <f t="shared" si="2"/>
        <v/>
      </c>
      <c r="T22" s="81" t="str">
        <f t="shared" si="3"/>
        <v/>
      </c>
      <c r="U22" s="98" t="str">
        <f>IF(B22="","",((Q22*3.28)-(((K22*'TS-Gehalte u. Preise'!$E$9+L22*'TS-Gehalte u. Preise'!$E$10+M22*'TS-Gehalte u. Preise'!$E$11))/B22))/3.28)</f>
        <v/>
      </c>
      <c r="V22" s="100" t="str">
        <f t="shared" si="4"/>
        <v/>
      </c>
    </row>
    <row r="23" spans="1:22" x14ac:dyDescent="0.2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6" t="str">
        <f>IF(B23="","",((E23*'TS-Gehalte u. Preise'!$C$3/100+F23*'TS-Gehalte u. Preise'!$C$4/100+G23*0.86+K23*0.87+L23*0.87+M23*0.87+I23*0.95+J23*0.95)-(N23*'TS-Gehalte u. Preise'!$D$23/100))/B23)</f>
        <v/>
      </c>
      <c r="P23" s="77" t="str">
        <f>IF(B23="","",(E23*Kostenermittl.Gras!$E$48+F23*Kostenermittl.Mais!$E$46+G23*'TS-Gehalte u. Preise'!$C$17/100+H23*'TS-Gehalte u. Preise'!$C$12/100+K23*'TS-Gehalte u. Preise'!$C$9/100+L23*'TS-Gehalte u. Preise'!$C$10/100+M23*'TS-Gehalte u. Preise'!$C$11/100+I23*'TS-Gehalte u. Preise'!$C$13/100+J23*'TS-Gehalte u. Preise'!$C$14/100))</f>
        <v/>
      </c>
      <c r="Q23" s="78" t="str">
        <f t="shared" si="0"/>
        <v/>
      </c>
      <c r="R23" s="79" t="str">
        <f t="shared" si="1"/>
        <v/>
      </c>
      <c r="S23" s="80" t="str">
        <f t="shared" si="2"/>
        <v/>
      </c>
      <c r="T23" s="81" t="str">
        <f t="shared" si="3"/>
        <v/>
      </c>
      <c r="U23" s="98" t="str">
        <f>IF(B23="","",((Q23*3.28)-(((K23*'TS-Gehalte u. Preise'!$E$9+L23*'TS-Gehalte u. Preise'!$E$10+M23*'TS-Gehalte u. Preise'!$E$11))/B23))/3.28)</f>
        <v/>
      </c>
      <c r="V23" s="100" t="str">
        <f t="shared" si="4"/>
        <v/>
      </c>
    </row>
    <row r="24" spans="1:22" x14ac:dyDescent="0.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6" t="str">
        <f>IF(B24="","",((E24*'TS-Gehalte u. Preise'!$C$3/100+F24*'TS-Gehalte u. Preise'!$C$4/100+G24*0.86+K24*0.87+L24*0.87+M24*0.87+I24*0.95+J24*0.95)-(N24*'TS-Gehalte u. Preise'!$D$23/100))/B24)</f>
        <v/>
      </c>
      <c r="P24" s="77" t="str">
        <f>IF(B24="","",(E24*Kostenermittl.Gras!$E$48+F24*Kostenermittl.Mais!$E$46+G24*'TS-Gehalte u. Preise'!$C$17/100+H24*'TS-Gehalte u. Preise'!$C$12/100+K24*'TS-Gehalte u. Preise'!$C$9/100+L24*'TS-Gehalte u. Preise'!$C$10/100+M24*'TS-Gehalte u. Preise'!$C$11/100+I24*'TS-Gehalte u. Preise'!$C$13/100+J24*'TS-Gehalte u. Preise'!$C$14/100))</f>
        <v/>
      </c>
      <c r="Q24" s="78" t="str">
        <f t="shared" si="0"/>
        <v/>
      </c>
      <c r="R24" s="79" t="str">
        <f t="shared" si="1"/>
        <v/>
      </c>
      <c r="S24" s="80" t="str">
        <f t="shared" si="2"/>
        <v/>
      </c>
      <c r="T24" s="81" t="str">
        <f t="shared" si="3"/>
        <v/>
      </c>
      <c r="U24" s="98" t="str">
        <f>IF(B24="","",((Q24*3.28)-(((K24*'TS-Gehalte u. Preise'!$E$9+L24*'TS-Gehalte u. Preise'!$E$10+M24*'TS-Gehalte u. Preise'!$E$11))/B24))/3.28)</f>
        <v/>
      </c>
      <c r="V24" s="100" t="str">
        <f t="shared" si="4"/>
        <v/>
      </c>
    </row>
    <row r="25" spans="1:22" x14ac:dyDescent="0.2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6" t="str">
        <f>IF(B25="","",((E25*'TS-Gehalte u. Preise'!$C$3/100+F25*'TS-Gehalte u. Preise'!$C$4/100+G25*0.86+K25*0.87+L25*0.87+M25*0.87+I25*0.95+J25*0.95)-(N25*'TS-Gehalte u. Preise'!$D$23/100))/B25)</f>
        <v/>
      </c>
      <c r="P25" s="77" t="str">
        <f>IF(B25="","",(E25*Kostenermittl.Gras!$E$48+F25*Kostenermittl.Mais!$E$46+G25*'TS-Gehalte u. Preise'!$C$17/100+H25*'TS-Gehalte u. Preise'!$C$12/100+K25*'TS-Gehalte u. Preise'!$C$9/100+L25*'TS-Gehalte u. Preise'!$C$10/100+M25*'TS-Gehalte u. Preise'!$C$11/100+I25*'TS-Gehalte u. Preise'!$C$13/100+J25*'TS-Gehalte u. Preise'!$C$14/100))</f>
        <v/>
      </c>
      <c r="Q25" s="78" t="str">
        <f t="shared" si="0"/>
        <v/>
      </c>
      <c r="R25" s="79" t="str">
        <f t="shared" si="1"/>
        <v/>
      </c>
      <c r="S25" s="80" t="str">
        <f t="shared" si="2"/>
        <v/>
      </c>
      <c r="T25" s="81" t="str">
        <f t="shared" si="3"/>
        <v/>
      </c>
      <c r="U25" s="98" t="str">
        <f>IF(B25="","",((Q25*3.28)-(((K25*'TS-Gehalte u. Preise'!$E$9+L25*'TS-Gehalte u. Preise'!$E$10+M25*'TS-Gehalte u. Preise'!$E$11))/B25))/3.28)</f>
        <v/>
      </c>
      <c r="V25" s="100" t="str">
        <f t="shared" si="4"/>
        <v/>
      </c>
    </row>
    <row r="26" spans="1:22" x14ac:dyDescent="0.2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 t="str">
        <f>IF(B26="","",((E26*'TS-Gehalte u. Preise'!$C$3/100+F26*'TS-Gehalte u. Preise'!$C$4/100+G26*0.86+K26*0.87+L26*0.87+M26*0.87+I26*0.95+J26*0.95)-(N26*'TS-Gehalte u. Preise'!$D$23/100))/B26)</f>
        <v/>
      </c>
      <c r="P26" s="77" t="str">
        <f>IF(B26="","",(E26*Kostenermittl.Gras!$E$48+F26*Kostenermittl.Mais!$E$46+G26*'TS-Gehalte u. Preise'!$C$17/100+H26*'TS-Gehalte u. Preise'!$C$12/100+K26*'TS-Gehalte u. Preise'!$C$9/100+L26*'TS-Gehalte u. Preise'!$C$10/100+M26*'TS-Gehalte u. Preise'!$C$11/100+I26*'TS-Gehalte u. Preise'!$C$13/100+J26*'TS-Gehalte u. Preise'!$C$14/100))</f>
        <v/>
      </c>
      <c r="Q26" s="78" t="str">
        <f t="shared" si="0"/>
        <v/>
      </c>
      <c r="R26" s="79" t="str">
        <f t="shared" si="1"/>
        <v/>
      </c>
      <c r="S26" s="80" t="str">
        <f t="shared" si="2"/>
        <v/>
      </c>
      <c r="T26" s="81" t="str">
        <f t="shared" si="3"/>
        <v/>
      </c>
      <c r="U26" s="98" t="str">
        <f>IF(B26="","",((Q26*3.28)-(((K26*'TS-Gehalte u. Preise'!$E$9+L26*'TS-Gehalte u. Preise'!$E$10+M26*'TS-Gehalte u. Preise'!$E$11))/B26))/3.28)</f>
        <v/>
      </c>
      <c r="V26" s="100" t="str">
        <f t="shared" si="4"/>
        <v/>
      </c>
    </row>
    <row r="27" spans="1:22" x14ac:dyDescent="0.2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 t="str">
        <f>IF(B27="","",((E27*'TS-Gehalte u. Preise'!$C$3/100+F27*'TS-Gehalte u. Preise'!$C$4/100+G27*0.86+K27*0.87+L27*0.87+M27*0.87+I27*0.95+J27*0.95)-(N27*'TS-Gehalte u. Preise'!$D$23/100))/B27)</f>
        <v/>
      </c>
      <c r="P27" s="77" t="str">
        <f>IF(B27="","",(E27*Kostenermittl.Gras!$E$48+F27*Kostenermittl.Mais!$E$46+G27*'TS-Gehalte u. Preise'!$C$17/100+H27*'TS-Gehalte u. Preise'!$C$12/100+K27*'TS-Gehalte u. Preise'!$C$9/100+L27*'TS-Gehalte u. Preise'!$C$10/100+M27*'TS-Gehalte u. Preise'!$C$11/100+I27*'TS-Gehalte u. Preise'!$C$13/100+J27*'TS-Gehalte u. Preise'!$C$14/100))</f>
        <v/>
      </c>
      <c r="Q27" s="78" t="str">
        <f t="shared" si="0"/>
        <v/>
      </c>
      <c r="R27" s="79" t="str">
        <f t="shared" si="1"/>
        <v/>
      </c>
      <c r="S27" s="80" t="str">
        <f t="shared" si="2"/>
        <v/>
      </c>
      <c r="T27" s="81" t="str">
        <f t="shared" si="3"/>
        <v/>
      </c>
      <c r="U27" s="98" t="str">
        <f>IF(B27="","",((Q27*3.28)-(((K27*'TS-Gehalte u. Preise'!$E$9+L27*'TS-Gehalte u. Preise'!$E$10+M27*'TS-Gehalte u. Preise'!$E$11))/B27))/3.28)</f>
        <v/>
      </c>
      <c r="V27" s="100" t="str">
        <f t="shared" si="4"/>
        <v/>
      </c>
    </row>
    <row r="28" spans="1:22" x14ac:dyDescent="0.2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 t="str">
        <f>IF(B28="","",((E28*'TS-Gehalte u. Preise'!$C$3/100+F28*'TS-Gehalte u. Preise'!$C$4/100+G28*0.86+K28*0.87+L28*0.87+M28*0.87+I28*0.95+J28*0.95)-(N28*'TS-Gehalte u. Preise'!$D$23/100))/B28)</f>
        <v/>
      </c>
      <c r="P28" s="77" t="str">
        <f>IF(B28="","",(E28*Kostenermittl.Gras!$E$48+F28*Kostenermittl.Mais!$E$46+G28*'TS-Gehalte u. Preise'!$C$17/100+H28*'TS-Gehalte u. Preise'!$C$12/100+K28*'TS-Gehalte u. Preise'!$C$9/100+L28*'TS-Gehalte u. Preise'!$C$10/100+M28*'TS-Gehalte u. Preise'!$C$11/100+I28*'TS-Gehalte u. Preise'!$C$13/100+J28*'TS-Gehalte u. Preise'!$C$14/100))</f>
        <v/>
      </c>
      <c r="Q28" s="78" t="str">
        <f t="shared" si="0"/>
        <v/>
      </c>
      <c r="R28" s="79" t="str">
        <f t="shared" si="1"/>
        <v/>
      </c>
      <c r="S28" s="80" t="str">
        <f t="shared" si="2"/>
        <v/>
      </c>
      <c r="T28" s="81" t="str">
        <f t="shared" si="3"/>
        <v/>
      </c>
      <c r="U28" s="98" t="str">
        <f>IF(B28="","",((Q28*3.28)-(((K28*'TS-Gehalte u. Preise'!$E$9+L28*'TS-Gehalte u. Preise'!$E$10+M28*'TS-Gehalte u. Preise'!$E$11))/B28))/3.28)</f>
        <v/>
      </c>
      <c r="V28" s="100" t="str">
        <f t="shared" si="4"/>
        <v/>
      </c>
    </row>
    <row r="29" spans="1:22" x14ac:dyDescent="0.2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 t="str">
        <f>IF(B29="","",((E29*'TS-Gehalte u. Preise'!$C$3/100+F29*'TS-Gehalte u. Preise'!$C$4/100+G29*0.86+K29*0.87+L29*0.87+M29*0.87+I29*0.95+J29*0.95)-(N29*'TS-Gehalte u. Preise'!$D$23/100))/B29)</f>
        <v/>
      </c>
      <c r="P29" s="77" t="str">
        <f>IF(B29="","",(E29*Kostenermittl.Gras!$E$48+F29*Kostenermittl.Mais!$E$46+G29*'TS-Gehalte u. Preise'!$C$17/100+H29*'TS-Gehalte u. Preise'!$C$12/100+K29*'TS-Gehalte u. Preise'!$C$9/100+L29*'TS-Gehalte u. Preise'!$C$10/100+M29*'TS-Gehalte u. Preise'!$C$11/100+I29*'TS-Gehalte u. Preise'!$C$13/100+J29*'TS-Gehalte u. Preise'!$C$14/100))</f>
        <v/>
      </c>
      <c r="Q29" s="78" t="str">
        <f t="shared" si="0"/>
        <v/>
      </c>
      <c r="R29" s="79" t="str">
        <f t="shared" si="1"/>
        <v/>
      </c>
      <c r="S29" s="80" t="str">
        <f t="shared" si="2"/>
        <v/>
      </c>
      <c r="T29" s="81" t="str">
        <f t="shared" si="3"/>
        <v/>
      </c>
      <c r="U29" s="98" t="str">
        <f>IF(B29="","",((Q29*3.28)-(((K29*'TS-Gehalte u. Preise'!$E$9+L29*'TS-Gehalte u. Preise'!$E$10+M29*'TS-Gehalte u. Preise'!$E$11))/B29))/3.28)</f>
        <v/>
      </c>
      <c r="V29" s="100" t="str">
        <f t="shared" si="4"/>
        <v/>
      </c>
    </row>
    <row r="30" spans="1:22" ht="12.75" thickBot="1" x14ac:dyDescent="0.25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 t="str">
        <f>IF(B30="","",((E30*'TS-Gehalte u. Preise'!$C$3/100+F30*'TS-Gehalte u. Preise'!$C$4/100+G30*0.86+K30*0.87+L30*0.87+M30*0.87+I30*0.95+J30*0.95)-(N30*'TS-Gehalte u. Preise'!$D$23/100))/B30)</f>
        <v/>
      </c>
      <c r="P30" s="85" t="str">
        <f>IF(B30="","",(E30*Kostenermittl.Gras!$E$48+F30*Kostenermittl.Mais!$E$46+G30*'TS-Gehalte u. Preise'!$C$17/100+H30*'TS-Gehalte u. Preise'!$C$12/100+K30*'TS-Gehalte u. Preise'!$C$9/100+L30*'TS-Gehalte u. Preise'!$C$10/100+M30*'TS-Gehalte u. Preise'!$C$11/100+I30*'TS-Gehalte u. Preise'!$C$13/100+J30*'TS-Gehalte u. Preise'!$C$14/100))</f>
        <v/>
      </c>
      <c r="Q30" s="86" t="str">
        <f t="shared" si="0"/>
        <v/>
      </c>
      <c r="R30" s="87" t="str">
        <f t="shared" si="1"/>
        <v/>
      </c>
      <c r="S30" s="88" t="str">
        <f t="shared" si="2"/>
        <v/>
      </c>
      <c r="T30" s="89" t="str">
        <f t="shared" si="3"/>
        <v/>
      </c>
      <c r="U30" s="99" t="str">
        <f>IF(B30="","",((Q30*3.28)-(((K30*'TS-Gehalte u. Preise'!$E$9+L30*'TS-Gehalte u. Preise'!$E$10+M30*'TS-Gehalte u. Preise'!$E$11))/B30))/3.28)</f>
        <v/>
      </c>
      <c r="V30" s="100" t="str">
        <f t="shared" si="4"/>
        <v/>
      </c>
    </row>
    <row r="31" spans="1:22" s="96" customFormat="1" x14ac:dyDescent="0.2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2"/>
      <c r="P31" s="93"/>
      <c r="Q31" s="94"/>
      <c r="R31" s="93"/>
      <c r="S31" s="95"/>
      <c r="V31" s="91"/>
    </row>
  </sheetData>
  <mergeCells count="1">
    <mergeCell ref="U2:V2"/>
  </mergeCells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 xml:space="preserve">&amp;C&amp;"Times New Roman,Standard"&amp;24Futtereffizienzkontrolle&amp;R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3"/>
  <sheetViews>
    <sheetView topLeftCell="A10" workbookViewId="0">
      <selection activeCell="E47" sqref="E47"/>
    </sheetView>
  </sheetViews>
  <sheetFormatPr baseColWidth="10" defaultRowHeight="15" x14ac:dyDescent="0.25"/>
  <cols>
    <col min="2" max="2" width="25.42578125" customWidth="1"/>
  </cols>
  <sheetData>
    <row r="1" spans="2:6" x14ac:dyDescent="0.25">
      <c r="B1" s="19" t="s">
        <v>114</v>
      </c>
    </row>
    <row r="2" spans="2:6" x14ac:dyDescent="0.25">
      <c r="B2" s="19"/>
      <c r="C2" s="41" t="s">
        <v>2</v>
      </c>
      <c r="D2" t="s">
        <v>117</v>
      </c>
    </row>
    <row r="3" spans="2:6" x14ac:dyDescent="0.25">
      <c r="B3" t="s">
        <v>115</v>
      </c>
      <c r="C3" s="44">
        <v>33</v>
      </c>
      <c r="D3" s="45">
        <v>6.5</v>
      </c>
    </row>
    <row r="4" spans="2:6" x14ac:dyDescent="0.25">
      <c r="B4" t="s">
        <v>116</v>
      </c>
      <c r="C4" s="44">
        <v>32</v>
      </c>
      <c r="D4" s="45">
        <v>6.8</v>
      </c>
    </row>
    <row r="7" spans="2:6" x14ac:dyDescent="0.25">
      <c r="B7" s="19" t="s">
        <v>46</v>
      </c>
    </row>
    <row r="8" spans="2:6" x14ac:dyDescent="0.25">
      <c r="E8" s="19" t="s">
        <v>71</v>
      </c>
    </row>
    <row r="9" spans="2:6" x14ac:dyDescent="0.25">
      <c r="B9" s="20" t="s">
        <v>108</v>
      </c>
      <c r="C9" s="28">
        <v>27</v>
      </c>
      <c r="D9" t="s">
        <v>40</v>
      </c>
      <c r="E9" s="29">
        <v>6.1</v>
      </c>
      <c r="F9" t="s">
        <v>56</v>
      </c>
    </row>
    <row r="10" spans="2:6" x14ac:dyDescent="0.25">
      <c r="B10" s="20" t="s">
        <v>107</v>
      </c>
      <c r="C10" s="28">
        <v>26.5</v>
      </c>
      <c r="D10" t="s">
        <v>40</v>
      </c>
      <c r="E10" s="29">
        <v>7.1</v>
      </c>
      <c r="F10" t="s">
        <v>56</v>
      </c>
    </row>
    <row r="11" spans="2:6" x14ac:dyDescent="0.25">
      <c r="B11" s="20" t="s">
        <v>106</v>
      </c>
      <c r="C11" s="28">
        <v>26.5</v>
      </c>
      <c r="D11" t="s">
        <v>40</v>
      </c>
      <c r="E11" s="29">
        <v>6.6</v>
      </c>
      <c r="F11" t="s">
        <v>56</v>
      </c>
    </row>
    <row r="12" spans="2:6" x14ac:dyDescent="0.25">
      <c r="B12" s="20" t="s">
        <v>109</v>
      </c>
      <c r="C12" s="28">
        <v>60</v>
      </c>
      <c r="D12" t="s">
        <v>40</v>
      </c>
    </row>
    <row r="13" spans="2:6" x14ac:dyDescent="0.25">
      <c r="B13" s="20" t="s">
        <v>110</v>
      </c>
      <c r="C13" s="28">
        <v>8</v>
      </c>
      <c r="D13" t="s">
        <v>40</v>
      </c>
    </row>
    <row r="14" spans="2:6" x14ac:dyDescent="0.25">
      <c r="B14" s="20" t="s">
        <v>111</v>
      </c>
      <c r="C14" s="28">
        <v>8</v>
      </c>
      <c r="D14" t="s">
        <v>40</v>
      </c>
    </row>
    <row r="15" spans="2:6" x14ac:dyDescent="0.25">
      <c r="C15" s="27"/>
    </row>
    <row r="16" spans="2:6" x14ac:dyDescent="0.25">
      <c r="C16" s="27"/>
    </row>
    <row r="17" spans="2:4" x14ac:dyDescent="0.25">
      <c r="B17" s="20" t="s">
        <v>112</v>
      </c>
      <c r="C17" s="28">
        <v>18</v>
      </c>
      <c r="D17" t="s">
        <v>41</v>
      </c>
    </row>
    <row r="18" spans="2:4" x14ac:dyDescent="0.25">
      <c r="C18" s="7"/>
    </row>
    <row r="19" spans="2:4" x14ac:dyDescent="0.25">
      <c r="C19" s="7"/>
    </row>
    <row r="21" spans="2:4" x14ac:dyDescent="0.25">
      <c r="B21" t="s">
        <v>103</v>
      </c>
    </row>
    <row r="22" spans="2:4" x14ac:dyDescent="0.25">
      <c r="B22" t="s">
        <v>104</v>
      </c>
      <c r="C22" t="s">
        <v>105</v>
      </c>
      <c r="D22" t="s">
        <v>2</v>
      </c>
    </row>
    <row r="23" spans="2:4" x14ac:dyDescent="0.25">
      <c r="B23" s="41">
        <f>((Kostenermittl.Mais!D7*Eingabetabelle!F4)/100+(Kostenermittl.Gras!D6*Eingabetabelle!E4)/100+Eingabetabelle!G4*0.85+Eingabetabelle!H4*0.9+Eingabetabelle!I4*0.95+Eingabetabelle!J4*0.95+Eingabetabelle!K4*0.87)</f>
        <v>901.06</v>
      </c>
      <c r="C23" s="42">
        <f>SUM(Eingabetabelle!E4:K4)</f>
        <v>2414</v>
      </c>
      <c r="D23" s="43">
        <f>100/C23*B23</f>
        <v>37.326429163214577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46"/>
  <sheetViews>
    <sheetView topLeftCell="A29" workbookViewId="0">
      <selection activeCell="F39" sqref="F39"/>
    </sheetView>
  </sheetViews>
  <sheetFormatPr baseColWidth="10" defaultColWidth="11.42578125" defaultRowHeight="14.25" x14ac:dyDescent="0.2"/>
  <cols>
    <col min="1" max="1" width="5.140625" style="4" customWidth="1"/>
    <col min="2" max="2" width="33.140625" style="2" customWidth="1"/>
    <col min="3" max="3" width="7.42578125" style="2" customWidth="1"/>
    <col min="4" max="4" width="14.28515625" style="3" customWidth="1"/>
    <col min="5" max="7" width="14.28515625" style="4" customWidth="1"/>
    <col min="8" max="8" width="13.140625" style="4" customWidth="1"/>
    <col min="9" max="16384" width="11.42578125" style="4"/>
  </cols>
  <sheetData>
    <row r="2" spans="2:8" x14ac:dyDescent="0.2">
      <c r="B2" s="8" t="s">
        <v>54</v>
      </c>
    </row>
    <row r="5" spans="2:8" x14ac:dyDescent="0.2">
      <c r="B5" s="11" t="s">
        <v>5</v>
      </c>
      <c r="C5" s="12"/>
      <c r="D5" s="12"/>
      <c r="E5" s="12"/>
      <c r="F5" s="12"/>
    </row>
    <row r="6" spans="2:8" x14ac:dyDescent="0.2">
      <c r="B6" s="13" t="s">
        <v>0</v>
      </c>
      <c r="C6" s="14" t="s">
        <v>1</v>
      </c>
      <c r="D6" s="14" t="s">
        <v>2</v>
      </c>
      <c r="E6" s="14" t="s">
        <v>4</v>
      </c>
      <c r="F6" s="14" t="s">
        <v>3</v>
      </c>
    </row>
    <row r="7" spans="2:8" x14ac:dyDescent="0.2">
      <c r="B7" s="36">
        <v>62</v>
      </c>
      <c r="C7" s="30">
        <v>700</v>
      </c>
      <c r="D7" s="47">
        <v>33</v>
      </c>
      <c r="E7" s="48">
        <f>B7*C7/100</f>
        <v>434</v>
      </c>
      <c r="F7" s="48">
        <f>E7*D7/100</f>
        <v>143.22</v>
      </c>
    </row>
    <row r="8" spans="2:8" x14ac:dyDescent="0.2">
      <c r="D8" s="31"/>
      <c r="E8" s="6"/>
      <c r="F8" s="6"/>
      <c r="G8" s="6"/>
      <c r="H8" s="6"/>
    </row>
    <row r="9" spans="2:8" ht="15" x14ac:dyDescent="0.2">
      <c r="B9" s="16" t="s">
        <v>47</v>
      </c>
      <c r="C9" s="15"/>
      <c r="D9" s="32"/>
      <c r="E9" s="6"/>
      <c r="F9" s="6"/>
      <c r="G9" s="6"/>
      <c r="H9" s="6"/>
    </row>
    <row r="10" spans="2:8" ht="13.5" customHeight="1" x14ac:dyDescent="0.2">
      <c r="B10" s="15" t="s">
        <v>23</v>
      </c>
      <c r="C10" s="15" t="s">
        <v>7</v>
      </c>
      <c r="D10" s="33">
        <v>245</v>
      </c>
    </row>
    <row r="11" spans="2:8" x14ac:dyDescent="0.2">
      <c r="B11" s="15" t="s">
        <v>24</v>
      </c>
      <c r="C11" s="15" t="s">
        <v>7</v>
      </c>
      <c r="D11" s="33">
        <f>200*0.2148</f>
        <v>42.96</v>
      </c>
    </row>
    <row r="12" spans="2:8" x14ac:dyDescent="0.2">
      <c r="B12" s="15" t="s">
        <v>31</v>
      </c>
      <c r="C12" s="15" t="s">
        <v>7</v>
      </c>
      <c r="D12" s="34"/>
      <c r="E12" s="17">
        <f>SUM(D9:D11)</f>
        <v>287.95999999999998</v>
      </c>
    </row>
    <row r="13" spans="2:8" x14ac:dyDescent="0.2">
      <c r="B13" s="15"/>
      <c r="C13" s="15"/>
      <c r="D13" s="34"/>
    </row>
    <row r="14" spans="2:8" ht="15" x14ac:dyDescent="0.2">
      <c r="B14" s="16" t="s">
        <v>8</v>
      </c>
      <c r="C14" s="15"/>
      <c r="D14" s="34"/>
    </row>
    <row r="15" spans="2:8" x14ac:dyDescent="0.2">
      <c r="B15" s="15" t="s">
        <v>6</v>
      </c>
      <c r="C15" s="15" t="s">
        <v>7</v>
      </c>
      <c r="D15" s="33">
        <v>180</v>
      </c>
    </row>
    <row r="16" spans="2:8" x14ac:dyDescent="0.2">
      <c r="B16" s="15" t="s">
        <v>20</v>
      </c>
      <c r="C16" s="15" t="s">
        <v>7</v>
      </c>
      <c r="D16" s="33">
        <v>60</v>
      </c>
    </row>
    <row r="17" spans="2:7" x14ac:dyDescent="0.2">
      <c r="B17" s="15" t="s">
        <v>9</v>
      </c>
      <c r="C17" s="15" t="s">
        <v>7</v>
      </c>
      <c r="D17" s="33">
        <v>35</v>
      </c>
    </row>
    <row r="18" spans="2:7" x14ac:dyDescent="0.2">
      <c r="B18" s="15" t="s">
        <v>10</v>
      </c>
      <c r="C18" s="15" t="s">
        <v>7</v>
      </c>
      <c r="D18" s="33">
        <v>120</v>
      </c>
    </row>
    <row r="19" spans="2:7" x14ac:dyDescent="0.2">
      <c r="B19" s="15" t="s">
        <v>25</v>
      </c>
      <c r="C19" s="15" t="s">
        <v>7</v>
      </c>
      <c r="D19" s="33">
        <v>25</v>
      </c>
    </row>
    <row r="20" spans="2:7" x14ac:dyDescent="0.2">
      <c r="B20" s="15" t="s">
        <v>11</v>
      </c>
      <c r="C20" s="15" t="s">
        <v>33</v>
      </c>
      <c r="D20" s="33">
        <v>35</v>
      </c>
    </row>
    <row r="21" spans="2:7" ht="15" x14ac:dyDescent="0.2">
      <c r="B21" s="16" t="s">
        <v>27</v>
      </c>
      <c r="C21" s="15" t="s">
        <v>7</v>
      </c>
      <c r="D21" s="35"/>
      <c r="E21" s="17">
        <f>SUM(D15:D20)</f>
        <v>455</v>
      </c>
    </row>
    <row r="22" spans="2:7" ht="15" x14ac:dyDescent="0.2">
      <c r="B22" s="16" t="s">
        <v>12</v>
      </c>
      <c r="C22" s="15"/>
      <c r="D22" s="35"/>
      <c r="E22" s="17">
        <f>E12-E21</f>
        <v>-167.04000000000002</v>
      </c>
    </row>
    <row r="23" spans="2:7" x14ac:dyDescent="0.2">
      <c r="B23" s="15"/>
      <c r="C23" s="15"/>
      <c r="D23" s="35"/>
      <c r="E23" s="3"/>
    </row>
    <row r="24" spans="2:7" x14ac:dyDescent="0.2">
      <c r="B24" s="15" t="s">
        <v>119</v>
      </c>
      <c r="C24" s="15" t="s">
        <v>7</v>
      </c>
      <c r="D24" s="33">
        <f>40*2.8</f>
        <v>112</v>
      </c>
    </row>
    <row r="25" spans="2:7" x14ac:dyDescent="0.2">
      <c r="B25" s="15" t="s">
        <v>13</v>
      </c>
      <c r="C25" s="15" t="s">
        <v>7</v>
      </c>
      <c r="D25" s="33">
        <v>45</v>
      </c>
    </row>
    <row r="26" spans="2:7" x14ac:dyDescent="0.2">
      <c r="B26" s="15" t="s">
        <v>14</v>
      </c>
      <c r="C26" s="15" t="s">
        <v>7</v>
      </c>
      <c r="D26" s="33">
        <v>35</v>
      </c>
    </row>
    <row r="27" spans="2:7" x14ac:dyDescent="0.2">
      <c r="B27" s="15" t="s">
        <v>15</v>
      </c>
      <c r="C27" s="15" t="s">
        <v>7</v>
      </c>
      <c r="D27" s="33">
        <v>8</v>
      </c>
    </row>
    <row r="28" spans="2:7" x14ac:dyDescent="0.2">
      <c r="B28" s="15" t="s">
        <v>16</v>
      </c>
      <c r="C28" s="15" t="s">
        <v>7</v>
      </c>
      <c r="D28" s="33">
        <v>28</v>
      </c>
    </row>
    <row r="29" spans="2:7" x14ac:dyDescent="0.2">
      <c r="B29" s="15" t="s">
        <v>18</v>
      </c>
      <c r="C29" s="15" t="s">
        <v>7</v>
      </c>
      <c r="D29" s="33">
        <v>35</v>
      </c>
    </row>
    <row r="30" spans="2:7" x14ac:dyDescent="0.2">
      <c r="B30" s="15" t="s">
        <v>21</v>
      </c>
      <c r="C30" s="15" t="s">
        <v>7</v>
      </c>
      <c r="D30" s="33">
        <v>200</v>
      </c>
    </row>
    <row r="31" spans="2:7" x14ac:dyDescent="0.2">
      <c r="B31" s="15" t="s">
        <v>17</v>
      </c>
      <c r="C31" s="15" t="s">
        <v>7</v>
      </c>
      <c r="D31" s="33">
        <v>80</v>
      </c>
      <c r="G31" s="3"/>
    </row>
    <row r="32" spans="2:7" x14ac:dyDescent="0.2">
      <c r="B32" s="15" t="s">
        <v>22</v>
      </c>
      <c r="C32" s="15" t="s">
        <v>7</v>
      </c>
      <c r="D32" s="33">
        <v>30</v>
      </c>
    </row>
    <row r="33" spans="2:5" x14ac:dyDescent="0.2">
      <c r="B33" s="15" t="s">
        <v>35</v>
      </c>
      <c r="C33" s="15" t="s">
        <v>7</v>
      </c>
      <c r="D33" s="33">
        <v>325</v>
      </c>
    </row>
    <row r="34" spans="2:5" x14ac:dyDescent="0.2">
      <c r="B34" s="15" t="s">
        <v>11</v>
      </c>
      <c r="C34" s="15" t="s">
        <v>7</v>
      </c>
      <c r="D34" s="33">
        <v>25</v>
      </c>
    </row>
    <row r="35" spans="2:5" ht="15" x14ac:dyDescent="0.2">
      <c r="B35" s="16" t="s">
        <v>28</v>
      </c>
      <c r="C35" s="15" t="s">
        <v>7</v>
      </c>
      <c r="D35" s="35"/>
      <c r="E35" s="17">
        <f>SUM(D24:D34)</f>
        <v>923</v>
      </c>
    </row>
    <row r="36" spans="2:5" ht="15" x14ac:dyDescent="0.2">
      <c r="B36" s="16" t="s">
        <v>34</v>
      </c>
      <c r="C36" s="15"/>
      <c r="D36" s="34"/>
      <c r="E36" s="17">
        <f>E12-E21-E35</f>
        <v>-1090.04</v>
      </c>
    </row>
    <row r="37" spans="2:5" x14ac:dyDescent="0.2">
      <c r="B37" s="15"/>
      <c r="C37" s="15"/>
      <c r="D37" s="34"/>
    </row>
    <row r="38" spans="2:5" x14ac:dyDescent="0.2">
      <c r="B38" s="12" t="s">
        <v>26</v>
      </c>
      <c r="C38" s="15" t="s">
        <v>7</v>
      </c>
      <c r="D38" s="33">
        <f>(80000*0.025+80000*0.01)/100</f>
        <v>28</v>
      </c>
      <c r="E38" s="3"/>
    </row>
    <row r="39" spans="2:5" x14ac:dyDescent="0.2">
      <c r="B39" s="15" t="s">
        <v>36</v>
      </c>
      <c r="C39" s="15" t="s">
        <v>7</v>
      </c>
      <c r="D39" s="33">
        <v>850</v>
      </c>
      <c r="E39" s="3"/>
    </row>
    <row r="40" spans="2:5" x14ac:dyDescent="0.2">
      <c r="B40" s="12" t="s">
        <v>29</v>
      </c>
      <c r="C40" s="12" t="s">
        <v>7</v>
      </c>
      <c r="D40" s="11"/>
      <c r="E40" s="17">
        <f>SUM(D38:D39)</f>
        <v>878</v>
      </c>
    </row>
    <row r="41" spans="2:5" x14ac:dyDescent="0.2">
      <c r="B41" s="15"/>
      <c r="C41" s="15"/>
      <c r="D41" s="11"/>
      <c r="E41" s="3"/>
    </row>
    <row r="42" spans="2:5" ht="15" x14ac:dyDescent="0.2">
      <c r="B42" s="16" t="s">
        <v>37</v>
      </c>
      <c r="C42" s="15" t="s">
        <v>7</v>
      </c>
      <c r="D42" s="11"/>
      <c r="E42" s="17">
        <f>E12</f>
        <v>287.95999999999998</v>
      </c>
    </row>
    <row r="43" spans="2:5" ht="15" x14ac:dyDescent="0.2">
      <c r="B43" s="16" t="s">
        <v>30</v>
      </c>
      <c r="C43" s="15" t="s">
        <v>7</v>
      </c>
      <c r="D43" s="11"/>
      <c r="E43" s="17">
        <f>E21+E35+E40</f>
        <v>2256</v>
      </c>
    </row>
    <row r="44" spans="2:5" ht="15" x14ac:dyDescent="0.2">
      <c r="B44" s="16"/>
      <c r="C44" s="15"/>
      <c r="D44" s="11"/>
    </row>
    <row r="45" spans="2:5" ht="15" x14ac:dyDescent="0.2">
      <c r="B45" s="16" t="s">
        <v>38</v>
      </c>
      <c r="C45" s="15" t="s">
        <v>40</v>
      </c>
      <c r="D45" s="11"/>
      <c r="E45" s="18">
        <f>E43/E7</f>
        <v>5.1981566820276495</v>
      </c>
    </row>
    <row r="46" spans="2:5" ht="15" x14ac:dyDescent="0.2">
      <c r="B46" s="39" t="s">
        <v>39</v>
      </c>
      <c r="C46" s="15" t="s">
        <v>53</v>
      </c>
      <c r="D46" s="11"/>
      <c r="E46" s="18">
        <f>E45/100</f>
        <v>5.1981566820276492E-2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48"/>
  <sheetViews>
    <sheetView workbookViewId="0">
      <selection activeCell="D42" sqref="D42"/>
    </sheetView>
  </sheetViews>
  <sheetFormatPr baseColWidth="10" defaultColWidth="11.42578125" defaultRowHeight="15" x14ac:dyDescent="0.25"/>
  <cols>
    <col min="1" max="1" width="7.28515625" style="1" customWidth="1"/>
    <col min="2" max="2" width="34.140625" style="1" customWidth="1"/>
    <col min="3" max="3" width="10" style="1" customWidth="1"/>
    <col min="4" max="5" width="11.42578125" style="1"/>
    <col min="6" max="6" width="12.7109375" style="1" customWidth="1"/>
    <col min="7" max="16384" width="11.42578125" style="1"/>
  </cols>
  <sheetData>
    <row r="2" spans="2:9" x14ac:dyDescent="0.25">
      <c r="B2" s="10" t="s">
        <v>48</v>
      </c>
    </row>
    <row r="4" spans="2:9" x14ac:dyDescent="0.25">
      <c r="B4" s="11" t="s">
        <v>5</v>
      </c>
      <c r="C4" s="12"/>
      <c r="D4" s="12"/>
      <c r="E4" s="12"/>
      <c r="F4" s="12"/>
      <c r="I4" s="4"/>
    </row>
    <row r="5" spans="2:9" x14ac:dyDescent="0.25">
      <c r="B5" s="13" t="s">
        <v>0</v>
      </c>
      <c r="C5" s="14" t="s">
        <v>43</v>
      </c>
      <c r="D5" s="14" t="s">
        <v>2</v>
      </c>
      <c r="E5" s="14" t="s">
        <v>4</v>
      </c>
      <c r="F5" s="14" t="s">
        <v>3</v>
      </c>
      <c r="I5" s="4"/>
    </row>
    <row r="6" spans="2:9" x14ac:dyDescent="0.25">
      <c r="B6" s="36">
        <v>60</v>
      </c>
      <c r="C6" s="30">
        <v>225</v>
      </c>
      <c r="D6" s="46">
        <f>'TS-Gehalte u. Preise'!C3</f>
        <v>33</v>
      </c>
      <c r="E6" s="49">
        <f>F6/D6*100</f>
        <v>409.09090909090907</v>
      </c>
      <c r="F6" s="50">
        <f>B6*C6/100</f>
        <v>135</v>
      </c>
      <c r="I6" s="4"/>
    </row>
    <row r="7" spans="2:9" x14ac:dyDescent="0.25">
      <c r="D7" s="5"/>
      <c r="E7" s="6"/>
      <c r="F7" s="6"/>
      <c r="G7" s="6"/>
      <c r="H7" s="6"/>
      <c r="I7" s="4"/>
    </row>
    <row r="8" spans="2:9" x14ac:dyDescent="0.25">
      <c r="D8" s="5"/>
      <c r="E8" s="6"/>
      <c r="F8" s="6"/>
      <c r="G8" s="6"/>
      <c r="H8" s="6"/>
      <c r="I8" s="4"/>
    </row>
    <row r="9" spans="2:9" x14ac:dyDescent="0.25">
      <c r="D9" s="5"/>
      <c r="E9" s="6"/>
      <c r="F9" s="6"/>
      <c r="G9" s="6"/>
      <c r="H9" s="6"/>
      <c r="I9" s="4"/>
    </row>
    <row r="10" spans="2:9" x14ac:dyDescent="0.25">
      <c r="B10" s="16" t="s">
        <v>32</v>
      </c>
      <c r="C10" s="15"/>
      <c r="D10" s="13"/>
      <c r="E10" s="6"/>
    </row>
    <row r="11" spans="2:9" x14ac:dyDescent="0.25">
      <c r="B11" s="15" t="s">
        <v>23</v>
      </c>
      <c r="C11" s="15" t="s">
        <v>7</v>
      </c>
      <c r="D11" s="33">
        <v>245</v>
      </c>
      <c r="E11" s="4"/>
    </row>
    <row r="12" spans="2:9" x14ac:dyDescent="0.25">
      <c r="B12" s="15" t="s">
        <v>24</v>
      </c>
      <c r="C12" s="15" t="s">
        <v>7</v>
      </c>
      <c r="D12" s="33">
        <f>250*0.2148</f>
        <v>53.699999999999996</v>
      </c>
      <c r="E12" s="4"/>
    </row>
    <row r="13" spans="2:9" x14ac:dyDescent="0.25">
      <c r="B13" s="16" t="s">
        <v>31</v>
      </c>
      <c r="C13" s="15" t="s">
        <v>7</v>
      </c>
      <c r="D13" s="34"/>
      <c r="E13" s="17">
        <f>SUM(D10:D12)</f>
        <v>298.7</v>
      </c>
    </row>
    <row r="14" spans="2:9" x14ac:dyDescent="0.25">
      <c r="B14" s="15"/>
      <c r="C14" s="15"/>
      <c r="D14" s="34"/>
      <c r="E14" s="4"/>
    </row>
    <row r="15" spans="2:9" x14ac:dyDescent="0.25">
      <c r="B15" s="16" t="s">
        <v>8</v>
      </c>
      <c r="C15" s="15"/>
      <c r="D15" s="34"/>
      <c r="E15" s="4"/>
    </row>
    <row r="16" spans="2:9" x14ac:dyDescent="0.25">
      <c r="B16" s="15" t="s">
        <v>6</v>
      </c>
      <c r="C16" s="15" t="s">
        <v>7</v>
      </c>
      <c r="D16" s="33">
        <f>40*4*1.07</f>
        <v>171.20000000000002</v>
      </c>
      <c r="E16" s="4"/>
      <c r="F16" s="38"/>
    </row>
    <row r="17" spans="2:8" x14ac:dyDescent="0.25">
      <c r="B17" s="15" t="s">
        <v>20</v>
      </c>
      <c r="C17" s="15" t="s">
        <v>7</v>
      </c>
      <c r="D17" s="33">
        <f>357+40</f>
        <v>397</v>
      </c>
      <c r="E17" s="4"/>
    </row>
    <row r="18" spans="2:8" x14ac:dyDescent="0.25">
      <c r="B18" s="15" t="s">
        <v>10</v>
      </c>
      <c r="C18" s="15" t="s">
        <v>7</v>
      </c>
      <c r="D18" s="33">
        <v>34.31</v>
      </c>
      <c r="E18" s="4"/>
    </row>
    <row r="19" spans="2:8" x14ac:dyDescent="0.25">
      <c r="B19" s="15" t="s">
        <v>25</v>
      </c>
      <c r="C19" s="15" t="s">
        <v>7</v>
      </c>
      <c r="D19" s="33">
        <v>75</v>
      </c>
      <c r="E19" s="4"/>
    </row>
    <row r="20" spans="2:8" x14ac:dyDescent="0.25">
      <c r="B20" s="15" t="s">
        <v>11</v>
      </c>
      <c r="C20" s="15" t="s">
        <v>7</v>
      </c>
      <c r="D20" s="33">
        <v>25</v>
      </c>
      <c r="E20" s="4"/>
    </row>
    <row r="21" spans="2:8" x14ac:dyDescent="0.25">
      <c r="B21" s="15" t="s">
        <v>27</v>
      </c>
      <c r="C21" s="15" t="s">
        <v>7</v>
      </c>
      <c r="D21" s="35"/>
      <c r="E21" s="17">
        <f>SUM(D16:D20)</f>
        <v>702.51</v>
      </c>
    </row>
    <row r="22" spans="2:8" x14ac:dyDescent="0.25">
      <c r="B22" s="16" t="s">
        <v>12</v>
      </c>
      <c r="C22" s="15"/>
      <c r="D22" s="35"/>
      <c r="E22" s="17">
        <f>E13-E21</f>
        <v>-403.81</v>
      </c>
    </row>
    <row r="23" spans="2:8" x14ac:dyDescent="0.25">
      <c r="B23" s="15"/>
      <c r="C23" s="15"/>
      <c r="D23" s="35"/>
      <c r="E23" s="3"/>
    </row>
    <row r="24" spans="2:8" x14ac:dyDescent="0.25">
      <c r="B24" s="15" t="s">
        <v>119</v>
      </c>
      <c r="C24" s="15" t="s">
        <v>7</v>
      </c>
      <c r="D24" s="33">
        <f>45*2.8</f>
        <v>125.99999999999999</v>
      </c>
      <c r="E24" s="4"/>
    </row>
    <row r="25" spans="2:8" x14ac:dyDescent="0.25">
      <c r="B25" s="15" t="s">
        <v>13</v>
      </c>
      <c r="C25" s="15" t="s">
        <v>7</v>
      </c>
      <c r="D25" s="33">
        <v>15.83</v>
      </c>
      <c r="E25" s="4"/>
    </row>
    <row r="26" spans="2:8" x14ac:dyDescent="0.25">
      <c r="B26" s="15" t="s">
        <v>14</v>
      </c>
      <c r="C26" s="15" t="s">
        <v>7</v>
      </c>
      <c r="D26" s="33">
        <v>8</v>
      </c>
      <c r="E26" s="4"/>
    </row>
    <row r="27" spans="2:8" x14ac:dyDescent="0.25">
      <c r="B27" s="15" t="s">
        <v>15</v>
      </c>
      <c r="C27" s="15" t="s">
        <v>7</v>
      </c>
      <c r="D27" s="33">
        <v>10</v>
      </c>
      <c r="E27" s="4"/>
    </row>
    <row r="28" spans="2:8" x14ac:dyDescent="0.25">
      <c r="B28" s="15" t="s">
        <v>16</v>
      </c>
      <c r="C28" s="15" t="s">
        <v>7</v>
      </c>
      <c r="D28" s="33">
        <v>5.5</v>
      </c>
      <c r="E28" s="4"/>
      <c r="H28" s="9"/>
    </row>
    <row r="29" spans="2:8" x14ac:dyDescent="0.25">
      <c r="B29" s="15" t="s">
        <v>18</v>
      </c>
      <c r="C29" s="15" t="s">
        <v>7</v>
      </c>
      <c r="D29" s="33">
        <v>4.5</v>
      </c>
      <c r="E29" s="4"/>
    </row>
    <row r="30" spans="2:8" x14ac:dyDescent="0.25">
      <c r="B30" s="15" t="s">
        <v>49</v>
      </c>
      <c r="C30" s="15" t="s">
        <v>7</v>
      </c>
      <c r="D30" s="33">
        <v>60</v>
      </c>
      <c r="E30" s="4"/>
    </row>
    <row r="31" spans="2:8" x14ac:dyDescent="0.25">
      <c r="B31" s="15" t="s">
        <v>50</v>
      </c>
      <c r="C31" s="15" t="s">
        <v>7</v>
      </c>
      <c r="D31" s="33">
        <v>50</v>
      </c>
      <c r="E31" s="4"/>
    </row>
    <row r="32" spans="2:8" x14ac:dyDescent="0.25">
      <c r="B32" s="15" t="s">
        <v>21</v>
      </c>
      <c r="C32" s="15" t="s">
        <v>7</v>
      </c>
      <c r="D32" s="33">
        <v>250</v>
      </c>
      <c r="E32" s="4"/>
    </row>
    <row r="33" spans="2:5" x14ac:dyDescent="0.25">
      <c r="B33" s="15" t="s">
        <v>17</v>
      </c>
      <c r="C33" s="15" t="s">
        <v>7</v>
      </c>
      <c r="D33" s="33">
        <v>80</v>
      </c>
      <c r="E33" s="4"/>
    </row>
    <row r="34" spans="2:5" x14ac:dyDescent="0.25">
      <c r="B34" s="15" t="s">
        <v>22</v>
      </c>
      <c r="C34" s="15" t="s">
        <v>7</v>
      </c>
      <c r="D34" s="33">
        <v>65</v>
      </c>
      <c r="E34" s="4"/>
    </row>
    <row r="35" spans="2:5" x14ac:dyDescent="0.25">
      <c r="B35" s="15" t="s">
        <v>35</v>
      </c>
      <c r="C35" s="15" t="s">
        <v>7</v>
      </c>
      <c r="D35" s="33">
        <v>325</v>
      </c>
      <c r="E35" s="4"/>
    </row>
    <row r="36" spans="2:5" x14ac:dyDescent="0.25">
      <c r="B36" s="15" t="s">
        <v>11</v>
      </c>
      <c r="C36" s="15" t="s">
        <v>7</v>
      </c>
      <c r="D36" s="33">
        <v>25</v>
      </c>
      <c r="E36" s="4"/>
    </row>
    <row r="37" spans="2:5" x14ac:dyDescent="0.25">
      <c r="B37" s="16" t="s">
        <v>28</v>
      </c>
      <c r="C37" s="15" t="s">
        <v>7</v>
      </c>
      <c r="D37" s="35"/>
      <c r="E37" s="17">
        <f>SUM(D24:D36)</f>
        <v>1024.83</v>
      </c>
    </row>
    <row r="38" spans="2:5" x14ac:dyDescent="0.25">
      <c r="B38" s="16" t="s">
        <v>34</v>
      </c>
      <c r="C38" s="15"/>
      <c r="D38" s="34"/>
      <c r="E38" s="17">
        <f>E13-E21-E37</f>
        <v>-1428.6399999999999</v>
      </c>
    </row>
    <row r="39" spans="2:5" x14ac:dyDescent="0.25">
      <c r="B39" s="15"/>
      <c r="C39" s="15"/>
      <c r="D39" s="34"/>
      <c r="E39" s="4"/>
    </row>
    <row r="40" spans="2:5" x14ac:dyDescent="0.25">
      <c r="B40" s="12" t="s">
        <v>26</v>
      </c>
      <c r="C40" s="15" t="s">
        <v>7</v>
      </c>
      <c r="D40" s="33">
        <v>75</v>
      </c>
      <c r="E40" s="3"/>
    </row>
    <row r="41" spans="2:5" x14ac:dyDescent="0.25">
      <c r="B41" s="15" t="s">
        <v>36</v>
      </c>
      <c r="C41" s="15" t="s">
        <v>7</v>
      </c>
      <c r="D41" s="33">
        <v>800</v>
      </c>
      <c r="E41" s="3"/>
    </row>
    <row r="42" spans="2:5" x14ac:dyDescent="0.25">
      <c r="B42" s="12" t="s">
        <v>29</v>
      </c>
      <c r="C42" s="12" t="s">
        <v>7</v>
      </c>
      <c r="D42" s="11"/>
      <c r="E42" s="17">
        <f>SUM(D40:D41)</f>
        <v>875</v>
      </c>
    </row>
    <row r="43" spans="2:5" x14ac:dyDescent="0.25">
      <c r="B43" s="15"/>
      <c r="C43" s="15"/>
      <c r="D43" s="11"/>
      <c r="E43" s="3"/>
    </row>
    <row r="44" spans="2:5" x14ac:dyDescent="0.25">
      <c r="B44" s="16" t="s">
        <v>37</v>
      </c>
      <c r="C44" s="15" t="s">
        <v>7</v>
      </c>
      <c r="D44" s="11"/>
      <c r="E44" s="17">
        <f>E13</f>
        <v>298.7</v>
      </c>
    </row>
    <row r="45" spans="2:5" x14ac:dyDescent="0.25">
      <c r="B45" s="16" t="s">
        <v>30</v>
      </c>
      <c r="C45" s="15" t="s">
        <v>7</v>
      </c>
      <c r="D45" s="11"/>
      <c r="E45" s="17">
        <f>E21+E37+E42</f>
        <v>2602.34</v>
      </c>
    </row>
    <row r="46" spans="2:5" x14ac:dyDescent="0.25">
      <c r="B46" s="16"/>
      <c r="C46" s="15"/>
      <c r="D46" s="11"/>
      <c r="E46" s="4"/>
    </row>
    <row r="47" spans="2:5" x14ac:dyDescent="0.25">
      <c r="B47" s="16" t="s">
        <v>38</v>
      </c>
      <c r="C47" s="15" t="s">
        <v>40</v>
      </c>
      <c r="D47" s="11"/>
      <c r="E47" s="18">
        <f>E45/E6</f>
        <v>6.3612755555555562</v>
      </c>
    </row>
    <row r="48" spans="2:5" x14ac:dyDescent="0.25">
      <c r="B48" s="39" t="s">
        <v>39</v>
      </c>
      <c r="C48" s="15" t="s">
        <v>53</v>
      </c>
      <c r="D48" s="11"/>
      <c r="E48" s="18">
        <f>E47/100</f>
        <v>6.3612755555555567E-2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0" workbookViewId="0">
      <selection activeCell="H47" sqref="H47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M14" sqref="M1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Erläuterungen</vt:lpstr>
      <vt:lpstr>Eingabetabelle</vt:lpstr>
      <vt:lpstr>TS-Gehalte u. Preise</vt:lpstr>
      <vt:lpstr>Kostenermittl.Mais</vt:lpstr>
      <vt:lpstr>Kostenermittl.Gras</vt:lpstr>
      <vt:lpstr>Grafik TM-Aufnahme u. Milchmeng</vt:lpstr>
      <vt:lpstr>Grafik Futterkosten kg Milch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Franz-Georg Holterhus</dc:creator>
  <cp:lastModifiedBy>Holterhus-Ringe</cp:lastModifiedBy>
  <cp:lastPrinted>2016-08-24T13:09:06Z</cp:lastPrinted>
  <dcterms:created xsi:type="dcterms:W3CDTF">2016-08-11T07:41:24Z</dcterms:created>
  <dcterms:modified xsi:type="dcterms:W3CDTF">2021-08-16T10:38:16Z</dcterms:modified>
</cp:coreProperties>
</file>